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chartsheets/sheet10.xml" ContentType="application/vnd.openxmlformats-officedocument.spreadsheetml.chartsheet+xml"/>
  <Override PartName="/xl/drawings/drawing13.xml" ContentType="application/vnd.openxmlformats-officedocument.drawing+xml"/>
  <Override PartName="/xl/chartsheets/sheet11.xml" ContentType="application/vnd.openxmlformats-officedocument.spreadsheetml.chartsheet+xml"/>
  <Override PartName="/xl/drawings/drawing14.xml" ContentType="application/vnd.openxmlformats-officedocument.drawing+xml"/>
  <Override PartName="/xl/chartsheets/sheet12.xml" ContentType="application/vnd.openxmlformats-officedocument.spreadsheetml.chartsheet+xml"/>
  <Override PartName="/xl/drawings/drawing15.xml" ContentType="application/vnd.openxmlformats-officedocument.drawing+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7.xml" ContentType="application/vnd.openxmlformats-officedocument.drawing+xml"/>
  <Override PartName="/xl/chartsheets/sheet15.xml" ContentType="application/vnd.openxmlformats-officedocument.spreadsheetml.chartsheet+xml"/>
  <Override PartName="/xl/drawings/drawing18.xml" ContentType="application/vnd.openxmlformats-officedocument.drawing+xml"/>
  <Override PartName="/xl/chartsheets/sheet16.xml" ContentType="application/vnd.openxmlformats-officedocument.spreadsheetml.chartsheet+xml"/>
  <Override PartName="/xl/drawings/drawing19.xml" ContentType="application/vnd.openxmlformats-officedocument.drawing+xml"/>
  <Override PartName="/xl/chartsheets/sheet17.xml" ContentType="application/vnd.openxmlformats-officedocument.spreadsheetml.chartsheet+xml"/>
  <Override PartName="/xl/drawings/drawing20.xml" ContentType="application/vnd.openxmlformats-officedocument.drawing+xml"/>
  <Override PartName="/xl/chartsheets/sheet18.xml" ContentType="application/vnd.openxmlformats-officedocument.spreadsheetml.chartsheet+xml"/>
  <Override PartName="/xl/drawings/drawing21.xml" ContentType="application/vnd.openxmlformats-officedocument.drawing+xml"/>
  <Override PartName="/xl/chartsheets/sheet19.xml" ContentType="application/vnd.openxmlformats-officedocument.spreadsheetml.chartsheet+xml"/>
  <Override PartName="/xl/drawings/drawing23.xml" ContentType="application/vnd.openxmlformats-officedocument.drawing+xml"/>
  <Override PartName="/xl/chartsheets/sheet20.xml" ContentType="application/vnd.openxmlformats-officedocument.spreadsheetml.chartsheet+xml"/>
  <Override PartName="/xl/drawings/drawing25.xml" ContentType="application/vnd.openxmlformats-officedocument.drawing+xml"/>
  <Override PartName="/xl/chartsheets/sheet21.xml" ContentType="application/vnd.openxmlformats-officedocument.spreadsheetml.chartsheet+xml"/>
  <Override PartName="/xl/drawings/drawing27.xml" ContentType="application/vnd.openxmlformats-officedocument.drawing+xml"/>
  <Override PartName="/xl/chartsheets/sheet22.xml" ContentType="application/vnd.openxmlformats-officedocument.spreadsheetml.chartsheet+xml"/>
  <Override PartName="/xl/drawings/drawing29.xml" ContentType="application/vnd.openxmlformats-officedocument.drawing+xml"/>
  <Override PartName="/xl/chartsheets/sheet23.xml" ContentType="application/vnd.openxmlformats-officedocument.spreadsheetml.chartsheet+xml"/>
  <Override PartName="/xl/drawings/drawing31.xml" ContentType="application/vnd.openxmlformats-officedocument.drawing+xml"/>
  <Override PartName="/xl/chartsheets/sheet24.xml" ContentType="application/vnd.openxmlformats-officedocument.spreadsheetml.chartsheet+xml"/>
  <Override PartName="/xl/drawings/drawing33.xml" ContentType="application/vnd.openxmlformats-officedocument.drawing+xml"/>
  <Override PartName="/xl/chartsheets/sheet25.xml" ContentType="application/vnd.openxmlformats-officedocument.spreadsheetml.chartsheet+xml"/>
  <Override PartName="/xl/drawings/drawing35.xml" ContentType="application/vnd.openxmlformats-officedocument.drawing+xml"/>
  <Override PartName="/xl/chartsheets/sheet26.xml" ContentType="application/vnd.openxmlformats-officedocument.spreadsheetml.chartsheet+xml"/>
  <Override PartName="/xl/drawings/drawing37.xml" ContentType="application/vnd.openxmlformats-officedocument.drawing+xml"/>
  <Override PartName="/xl/chartsheets/sheet27.xml" ContentType="application/vnd.openxmlformats-officedocument.spreadsheetml.chartsheet+xml"/>
  <Override PartName="/xl/drawings/drawing39.xml" ContentType="application/vnd.openxmlformats-officedocument.drawing+xml"/>
  <Override PartName="/xl/chartsheets/sheet28.xml" ContentType="application/vnd.openxmlformats-officedocument.spreadsheetml.chartsheet+xml"/>
  <Override PartName="/xl/drawings/drawing41.xml" ContentType="application/vnd.openxmlformats-officedocument.drawing+xml"/>
  <Override PartName="/xl/chartsheets/sheet29.xml" ContentType="application/vnd.openxmlformats-officedocument.spreadsheetml.chartsheet+xml"/>
  <Override PartName="/xl/drawings/drawing43.xml" ContentType="application/vnd.openxmlformats-officedocument.drawing+xml"/>
  <Override PartName="/xl/chartsheets/sheet30.xml" ContentType="application/vnd.openxmlformats-officedocument.spreadsheetml.chartsheet+xml"/>
  <Override PartName="/xl/drawings/drawing45.xml" ContentType="application/vnd.openxmlformats-officedocument.drawing+xml"/>
  <Override PartName="/xl/chartsheets/sheet31.xml" ContentType="application/vnd.openxmlformats-officedocument.spreadsheetml.chartsheet+xml"/>
  <Override PartName="/xl/drawings/drawing47.xml" ContentType="application/vnd.openxmlformats-officedocument.drawing+xml"/>
  <Override PartName="/xl/chartsheets/sheet32.xml" ContentType="application/vnd.openxmlformats-officedocument.spreadsheetml.chartsheet+xml"/>
  <Override PartName="/xl/drawings/drawing49.xml" ContentType="application/vnd.openxmlformats-officedocument.drawing+xml"/>
  <Override PartName="/xl/chartsheets/sheet33.xml" ContentType="application/vnd.openxmlformats-officedocument.spreadsheetml.chartsheet+xml"/>
  <Override PartName="/xl/drawings/drawing51.xml" ContentType="application/vnd.openxmlformats-officedocument.drawing+xml"/>
  <Override PartName="/xl/chartsheets/sheet34.xml" ContentType="application/vnd.openxmlformats-officedocument.spreadsheetml.chartsheet+xml"/>
  <Override PartName="/xl/drawings/drawing52.xml" ContentType="application/vnd.openxmlformats-officedocument.drawing+xml"/>
  <Override PartName="/xl/chartsheets/sheet35.xml" ContentType="application/vnd.openxmlformats-officedocument.spreadsheetml.chartsheet+xml"/>
  <Override PartName="/xl/drawings/drawing53.xml" ContentType="application/vnd.openxmlformats-officedocument.drawing+xml"/>
  <Override PartName="/xl/chartsheets/sheet36.xml" ContentType="application/vnd.openxmlformats-officedocument.spreadsheetml.chartsheet+xml"/>
  <Override PartName="/xl/drawings/drawing54.xml" ContentType="application/vnd.openxmlformats-officedocument.drawing+xml"/>
  <Override PartName="/xl/chartsheets/sheet37.xml" ContentType="application/vnd.openxmlformats-officedocument.spreadsheetml.chartsheet+xml"/>
  <Override PartName="/xl/drawings/drawing55.xml" ContentType="application/vnd.openxmlformats-officedocument.drawing+xml"/>
  <Override PartName="/xl/chartsheets/sheet38.xml" ContentType="application/vnd.openxmlformats-officedocument.spreadsheetml.chartsheet+xml"/>
  <Override PartName="/xl/drawings/drawing5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40.xml" ContentType="application/vnd.openxmlformats-officedocument.drawingml.chartshapes+xml"/>
  <Override PartName="/xl/drawings/drawing42.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Override PartName="/xl/drawings/drawing48.xml" ContentType="application/vnd.openxmlformats-officedocument.drawingml.chartshapes+xml"/>
  <Override PartName="/xl/drawings/drawing5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5330" windowHeight="8775" tabRatio="850" activeTab="0"/>
  </bookViews>
  <sheets>
    <sheet name="AP Distinguish HS Students" sheetId="1" r:id="rId1"/>
    <sheet name="Why Take AP Overall" sheetId="2" r:id="rId2"/>
    <sheet name="Comparable Students" sheetId="3" r:id="rId3"/>
    <sheet name="1st Year GPA" sheetId="4" r:id="rId4"/>
    <sheet name="Why Take AP ethnic &amp; econ" sheetId="5" r:id="rId5"/>
    <sheet name="Race &amp; Ethnicity" sheetId="6" r:id="rId6"/>
    <sheet name="Growth Rate" sheetId="7" r:id="rId7"/>
    <sheet name="APWH by Region" sheetId="8" r:id="rId8"/>
    <sheet name="Student Age Distribution" sheetId="9" r:id="rId9"/>
    <sheet name="APWH % Score Distrib" sheetId="10" r:id="rId10"/>
    <sheet name="APWH # Score Distribution" sheetId="11" r:id="rId11"/>
    <sheet name="Mean Grade" sheetId="12" r:id="rId12"/>
    <sheet name="2002 Grade Level vs Score" sheetId="13" r:id="rId13"/>
    <sheet name="2003 Grade Level vs Score" sheetId="14" r:id="rId14"/>
    <sheet name="2004 Grade Level vs Score" sheetId="15" r:id="rId15"/>
    <sheet name="Scores by Grade Level" sheetId="16" r:id="rId16"/>
    <sheet name="Age vs Passing Rate" sheetId="17" r:id="rId17"/>
    <sheet name="Passing Rate vs Mean Scores" sheetId="18" r:id="rId18"/>
    <sheet name="2002 MC &amp; Essay Combination" sheetId="19" r:id="rId19"/>
    <sheet name="2007 MC &amp; Essay Combination" sheetId="20" r:id="rId20"/>
    <sheet name="2002 vs 2007 MC &amp; Essay Comb" sheetId="21" r:id="rId21"/>
    <sheet name="2002 Bell Curve" sheetId="22" r:id="rId22"/>
    <sheet name="2007 Bell Curve" sheetId="23" r:id="rId23"/>
    <sheet name="2002 Detailed Composite" sheetId="24" r:id="rId24"/>
    <sheet name="2007 Detailed Composite" sheetId="25" r:id="rId25"/>
    <sheet name="2002 MC Average" sheetId="26" r:id="rId26"/>
    <sheet name="2007 MC Average" sheetId="27" r:id="rId27"/>
    <sheet name="2002 vs. 2007 MC Avg" sheetId="28" r:id="rId28"/>
    <sheet name="2002 The &quot;Cliff&quot;" sheetId="29" r:id="rId29"/>
    <sheet name="2007 The &quot;Cliff&quot;" sheetId="30" r:id="rId30"/>
    <sheet name="2002-2007 &quot;Cliff&quot;" sheetId="31" r:id="rId31"/>
    <sheet name="Should I Guess" sheetId="32" r:id="rId32"/>
    <sheet name="Nat'l Mean Essay Scores" sheetId="33" r:id="rId33"/>
    <sheet name="2002 Essay Score Distrib" sheetId="34" r:id="rId34"/>
    <sheet name="2007 Essay Score Distrib" sheetId="35" r:id="rId35"/>
    <sheet name="2002 vs 2007 Essays" sheetId="36" r:id="rId36"/>
    <sheet name="AP Histories" sheetId="37" r:id="rId37"/>
    <sheet name="MC-Essay Balance" sheetId="38" r:id="rId38"/>
    <sheet name="Why Take AP DATA" sheetId="39" r:id="rId39"/>
    <sheet name="Score Distrib History DATA" sheetId="40" r:id="rId40"/>
    <sheet name="2002 Score Comb DATA" sheetId="41" r:id="rId41"/>
    <sheet name="2007 Score Comb DATA" sheetId="42" r:id="rId42"/>
    <sheet name="2002 MC Section DATA" sheetId="43" r:id="rId43"/>
    <sheet name="2007 MC Section DATA" sheetId="44" r:id="rId44"/>
    <sheet name="Essay Scores DATA" sheetId="45" r:id="rId45"/>
    <sheet name="AP Histories DATA" sheetId="46" r:id="rId46"/>
    <sheet name="Scores by Grade Level DATA" sheetId="47" r:id="rId47"/>
    <sheet name="Course Ledger DATA" sheetId="48" r:id="rId48"/>
    <sheet name="IPR DATA" sheetId="49" r:id="rId49"/>
  </sheets>
  <externalReferences>
    <externalReference r:id="rId52"/>
  </externalReferences>
  <definedNames>
    <definedName name="AKAPNum">'Course Ledger DATA'!$I$41</definedName>
    <definedName name="AKAPWHNum">'Course Ledger DATA'!$C$41</definedName>
    <definedName name="AKPop">'Course Ledger DATA'!$F$41</definedName>
    <definedName name="ALAPNum">'Course Ledger DATA'!$I$27</definedName>
    <definedName name="ALAPWHNum">'Course Ledger DATA'!$C$27</definedName>
    <definedName name="ALPop">'Course Ledger DATA'!$F$27</definedName>
    <definedName name="APSIUS">'Course Ledger DATA'!$K$54</definedName>
    <definedName name="ARAPNum">'Course Ledger DATA'!$I$37</definedName>
    <definedName name="ARAPWHNum">'Course Ledger DATA'!$C$37</definedName>
    <definedName name="ARPop">'Course Ledger DATA'!$F$37</definedName>
    <definedName name="AZAPNum">'Course Ledger DATA'!$I$42</definedName>
    <definedName name="AZAPWHNum">'Course Ledger DATA'!$C$42</definedName>
    <definedName name="AZPop">'Course Ledger DATA'!$F$42</definedName>
    <definedName name="CAAPNum">'Course Ledger DATA'!$I$43</definedName>
    <definedName name="CAAPWHNum">'Course Ledger DATA'!$C$43</definedName>
    <definedName name="CAPop">'Course Ledger DATA'!$F$43</definedName>
    <definedName name="CCOT_2002">'Essay Scores DATA'!$B$10</definedName>
    <definedName name="CCOT_2007">'Essay Scores DATA'!$G$10</definedName>
    <definedName name="COAPNum">'Course Ledger DATA'!$I$44</definedName>
    <definedName name="COAPWHNum">'Course Ledger DATA'!$C$44</definedName>
    <definedName name="Comp_2002">'Essay Scores DATA'!$B$11</definedName>
    <definedName name="Comp_2007">'Essay Scores DATA'!$G$11</definedName>
    <definedName name="COPop">'Course Ledger DATA'!$F$44</definedName>
    <definedName name="COT_2007">'Essay Scores DATA'!$G$10</definedName>
    <definedName name="CTAPNum">'Course Ledger DATA'!$I$21</definedName>
    <definedName name="CTAPWHNum">'Course Ledger DATA'!$C$21</definedName>
    <definedName name="CTPop">'Course Ledger DATA'!$F$21</definedName>
    <definedName name="DBQ_2002">'Essay Scores DATA'!$B$9</definedName>
    <definedName name="DBQ_2007">'Essay Scores DATA'!$G$9</definedName>
    <definedName name="DCAPNum">'Course Ledger DATA'!$I$3</definedName>
    <definedName name="DCAPWHNum">'Course Ledger DATA'!$C$3</definedName>
    <definedName name="DCPop">'Course Ledger DATA'!$F$3</definedName>
    <definedName name="DEAPNum">'Course Ledger DATA'!$I$2</definedName>
    <definedName name="DEAPWHNum">'Course Ledger DATA'!$C$2</definedName>
    <definedName name="DEPop">'Course Ledger DATA'!$F$2</definedName>
    <definedName name="Essay_Weight" localSheetId="41">'2007 Score Comb DATA'!$H$58</definedName>
    <definedName name="Essay_Weight">'2002 Score Comb DATA'!$H$58</definedName>
    <definedName name="FLAPNum">'Course Ledger DATA'!$I$28</definedName>
    <definedName name="FLAPWHNum">'Course Ledger DATA'!$C$28</definedName>
    <definedName name="FLPop">'Course Ledger DATA'!$F$28</definedName>
    <definedName name="GAAPNum">'Course Ledger DATA'!$I$29</definedName>
    <definedName name="GAAPWHNum">'Course Ledger DATA'!$C$29</definedName>
    <definedName name="GAPop">'Course Ledger DATA'!$F$29</definedName>
    <definedName name="Generic_MC_Weight" localSheetId="41">'2007 Score Comb DATA'!$G$2</definedName>
    <definedName name="Generic_MC_Weight">'2002 Score Comb DATA'!$G$2</definedName>
    <definedName name="Global_Number">'IPR DATA'!#REF!</definedName>
    <definedName name="Group_Number">'IPR DATA'!#REF!</definedName>
    <definedName name="HIAPNum">'Course Ledger DATA'!$I$45</definedName>
    <definedName name="HIAPWHNum">'Course Ledger DATA'!$C$45</definedName>
    <definedName name="HIPop">'Course Ledger DATA'!$F$45</definedName>
    <definedName name="IAAPNum">'Course Ledger DATA'!$I$10</definedName>
    <definedName name="IAAPWHNum">'Course Ledger DATA'!$C$10</definedName>
    <definedName name="IAPop">'Course Ledger DATA'!$F$10</definedName>
    <definedName name="IDAPNum">'Course Ledger DATA'!$I$46</definedName>
    <definedName name="IDAPWHNum">'Course Ledger DATA'!$C$46</definedName>
    <definedName name="IDPop">'Course Ledger DATA'!$F$46</definedName>
    <definedName name="ILAPNum">'Course Ledger DATA'!$I$8</definedName>
    <definedName name="ILAPWHNum">'Course Ledger DATA'!$C$8</definedName>
    <definedName name="ILPop">'Course Ledger DATA'!$F$8</definedName>
    <definedName name="INAPNum">'Course Ledger DATA'!$I$9</definedName>
    <definedName name="INAPWHNum">'Course Ledger DATA'!$C$9</definedName>
    <definedName name="INPop">'Course Ledger DATA'!$F$9</definedName>
    <definedName name="KSAPNum">'Course Ledger DATA'!$I$11</definedName>
    <definedName name="KSAPWHNum">'Course Ledger DATA'!$C$11</definedName>
    <definedName name="KSPop">'Course Ledger DATA'!$F$11</definedName>
    <definedName name="KYAPNum">'Course Ledger DATA'!$I$30</definedName>
    <definedName name="KYAPWHNum">'Course Ledger DATA'!$C$30</definedName>
    <definedName name="KYPop">'Course Ledger DATA'!$F$30</definedName>
    <definedName name="LAAPNum">'Course Ledger DATA'!$I$31</definedName>
    <definedName name="LAAPWHNum">'Course Ledger DATA'!$C$31</definedName>
    <definedName name="LAPop">'Course Ledger DATA'!$F$31</definedName>
    <definedName name="MAAPNum">'Course Ledger DATA'!$I$23</definedName>
    <definedName name="MAAPWHNum">'Course Ledger DATA'!$C$23</definedName>
    <definedName name="MAPop">'Course Ledger DATA'!$F$23</definedName>
    <definedName name="MDAPNum">'Course Ledger DATA'!$I$4</definedName>
    <definedName name="MDAPWHNum">'Course Ledger DATA'!$C$4</definedName>
    <definedName name="MDPop">'Course Ledger DATA'!$F$4</definedName>
    <definedName name="MEAPNum">'Course Ledger DATA'!$I$22</definedName>
    <definedName name="MEAPWHNum">'Course Ledger DATA'!$C$22</definedName>
    <definedName name="MEPop">'Course Ledger DATA'!$F$22</definedName>
    <definedName name="MIAPNum">'Course Ledger DATA'!$I$12</definedName>
    <definedName name="MIAPWHNum">'Course Ledger DATA'!$C$12</definedName>
    <definedName name="Min1" localSheetId="41">'2007 Score Comb DATA'!$F$46</definedName>
    <definedName name="Min1">'2002 Score Comb DATA'!$F$46</definedName>
    <definedName name="Min2" localSheetId="41">'2007 Score Comb DATA'!$F$45</definedName>
    <definedName name="Min2">'2002 Score Comb DATA'!$F$45</definedName>
    <definedName name="Min3" localSheetId="41">'2007 Score Comb DATA'!$F$44</definedName>
    <definedName name="Min3">'2002 Score Comb DATA'!$F$44</definedName>
    <definedName name="Min4" localSheetId="41">'2007 Score Comb DATA'!$F$43</definedName>
    <definedName name="Min4">'2002 Score Comb DATA'!$F$43</definedName>
    <definedName name="Min5" localSheetId="41">'2007 Score Comb DATA'!$F$42</definedName>
    <definedName name="Min5">'2002 Score Comb DATA'!$F$42</definedName>
    <definedName name="MIPop">'Course Ledger DATA'!$F$12</definedName>
    <definedName name="MNAPNum">'Course Ledger DATA'!$I$13</definedName>
    <definedName name="MNAPWHNum">'Course Ledger DATA'!$C$13</definedName>
    <definedName name="MNPop">'Course Ledger DATA'!$F$13</definedName>
    <definedName name="MOAPNum">'Course Ledger DATA'!$I$14</definedName>
    <definedName name="MOAPWHNum">'Course Ledger DATA'!$C$14</definedName>
    <definedName name="MOPop">'Course Ledger DATA'!$F$14</definedName>
    <definedName name="MSAPNum">'Course Ledger DATA'!$I$32</definedName>
    <definedName name="MSAPWHNum">'Course Ledger DATA'!$C$32</definedName>
    <definedName name="MSPop">'Course Ledger DATA'!$F$32</definedName>
    <definedName name="MTAPNum">'Course Ledger DATA'!$I$47</definedName>
    <definedName name="MTAPWHNum">'Course Ledger DATA'!$C$47</definedName>
    <definedName name="MTPop">'Course Ledger DATA'!$F$47</definedName>
    <definedName name="Multiplier" localSheetId="41">'2007 Score Comb DATA'!$D$2</definedName>
    <definedName name="Multiplier">'2002 Score Comb DATA'!$D$2</definedName>
    <definedName name="NCAPNum">'Course Ledger DATA'!$I$33</definedName>
    <definedName name="NCAPWHNum">'Course Ledger DATA'!$C$33</definedName>
    <definedName name="NCPop">'Course Ledger DATA'!$F$33</definedName>
    <definedName name="NDAPNum">'Course Ledger DATA'!$I$16</definedName>
    <definedName name="NDAPWHNum">'Course Ledger DATA'!$C$16</definedName>
    <definedName name="NDPop">'Course Ledger DATA'!$F$16</definedName>
    <definedName name="NEAPNum">'Course Ledger DATA'!$I$15</definedName>
    <definedName name="NEAPWHNum">'Course Ledger DATA'!$C$15</definedName>
    <definedName name="NEPop">'Course Ledger DATA'!$F$15</definedName>
    <definedName name="NHAPNum">'Course Ledger DATA'!$I$24</definedName>
    <definedName name="NHAPWHNum">'Course Ledger DATA'!$C$24</definedName>
    <definedName name="NHPop">'Course Ledger DATA'!$F$24</definedName>
    <definedName name="NJAPNum">'Course Ledger DATA'!$I$5</definedName>
    <definedName name="NJAPWHNum">'Course Ledger DATA'!$C$5</definedName>
    <definedName name="NJPop">'Course Ledger DATA'!$F$5</definedName>
    <definedName name="NMAPNum">'Course Ledger DATA'!$I$38</definedName>
    <definedName name="NMAPWHNum">'Course Ledger DATA'!$C$38</definedName>
    <definedName name="NMPop">'Course Ledger DATA'!$F$38</definedName>
    <definedName name="Number_of_Students">'[1]MC Section DATA'!$AJ$5</definedName>
    <definedName name="Number_Students" localSheetId="43">'2007 MC Section DATA'!$AJ$5</definedName>
    <definedName name="Number_Students">'2002 MC Section DATA'!$AJ$5</definedName>
    <definedName name="NVAPNum">'Course Ledger DATA'!$I$48</definedName>
    <definedName name="NVAPWHNum">'Course Ledger DATA'!$C$48</definedName>
    <definedName name="NVPop">'Course Ledger DATA'!$F$48</definedName>
    <definedName name="NYAPNum">'Course Ledger DATA'!$I$6</definedName>
    <definedName name="NYAPWHNum">'Course Ledger DATA'!$C$6</definedName>
    <definedName name="NYPop">'Course Ledger DATA'!$F$6</definedName>
    <definedName name="OHAPNum">'Course Ledger DATA'!$I$17</definedName>
    <definedName name="OHAPWHNum">'Course Ledger DATA'!$C$17</definedName>
    <definedName name="OHPop">'Course Ledger DATA'!$F$17</definedName>
    <definedName name="OKAPNum">'Course Ledger DATA'!$I$39</definedName>
    <definedName name="OKAPWHNum">'Course Ledger DATA'!$C$39</definedName>
    <definedName name="OKPop">'Course Ledger DATA'!$F$39</definedName>
    <definedName name="ORAPNum">'Course Ledger DATA'!$I$49</definedName>
    <definedName name="ORAPWHNum">'Course Ledger DATA'!$C$49</definedName>
    <definedName name="ORPop">'Course Ledger DATA'!$F$49</definedName>
    <definedName name="PaAPNum">'Course Ledger DATA'!$I$7</definedName>
    <definedName name="PAAPWHNum">'Course Ledger DATA'!$C$7</definedName>
    <definedName name="PAPop">'Course Ledger DATA'!$F$7</definedName>
    <definedName name="Percentifier" localSheetId="41">'2007 Score Comb DATA'!$A$32</definedName>
    <definedName name="Percentifier">'2002 Score Comb DATA'!$A$32</definedName>
    <definedName name="_xlnm.Print_Area" localSheetId="40">'2002 Score Comb DATA'!$A$1:$Q$76</definedName>
    <definedName name="_xlnm.Print_Area" localSheetId="41">'2007 Score Comb DATA'!$A$1:$Q$76</definedName>
    <definedName name="RIAPNum">'Course Ledger DATA'!$I$25</definedName>
    <definedName name="RIAPWHNum">'Course Ledger DATA'!$C$25</definedName>
    <definedName name="RIPop">'Course Ledger DATA'!$F$25</definedName>
    <definedName name="SCAPNum">'Course Ledger DATA'!$I$34</definedName>
    <definedName name="SCAPWHNum">'Course Ledger DATA'!$C$34</definedName>
    <definedName name="School_Name">'IPR DATA'!#REF!</definedName>
    <definedName name="SCPop">'Course Ledger DATA'!$F$34</definedName>
    <definedName name="SDAPNum">'Course Ledger DATA'!$I$18</definedName>
    <definedName name="SDAPWHNum">'Course Ledger DATA'!$C$18</definedName>
    <definedName name="SDPop">'Course Ledger DATA'!$F$18</definedName>
    <definedName name="TNAPNum">'Course Ledger DATA'!$I$35</definedName>
    <definedName name="TNAPWHNum">'Course Ledger DATA'!$C$35</definedName>
    <definedName name="TNPop">'Course Ledger DATA'!$F$35</definedName>
    <definedName name="TXAPNum">'Course Ledger DATA'!$I$40</definedName>
    <definedName name="TXAPWHNum">'Course Ledger DATA'!$C$40</definedName>
    <definedName name="TXPop">'Course Ledger DATA'!$F$40</definedName>
    <definedName name="USAPNum">'Course Ledger DATA'!$I$53</definedName>
    <definedName name="USPop">'Course Ledger DATA'!$F$53</definedName>
    <definedName name="UTAPNum">'Course Ledger DATA'!$I$50</definedName>
    <definedName name="UTAPWHNum">'Course Ledger DATA'!$C$50</definedName>
    <definedName name="UTPop">'Course Ledger DATA'!$F$50</definedName>
    <definedName name="VAAPNum">'Course Ledger DATA'!$I$36</definedName>
    <definedName name="VAAPWHNum">'Course Ledger DATA'!$C$36</definedName>
    <definedName name="VAPop">'Course Ledger DATA'!$F$36</definedName>
    <definedName name="VTAPNum">'Course Ledger DATA'!$I$26</definedName>
    <definedName name="VTAPWHNum">'Course Ledger DATA'!$C$26</definedName>
    <definedName name="VTPop">'Course Ledger DATA'!$F$26</definedName>
    <definedName name="WAAPNum">'Course Ledger DATA'!$I$51</definedName>
    <definedName name="WAAPWHNum">'Course Ledger DATA'!$C$51</definedName>
    <definedName name="WAPop">'Course Ledger DATA'!$F$51</definedName>
    <definedName name="WIAPNum">'Course Ledger DATA'!$I$20</definedName>
    <definedName name="WIAPWHNum">'Course Ledger DATA'!$C$20</definedName>
    <definedName name="WIPop">'Course Ledger DATA'!$F$20</definedName>
    <definedName name="WVAPNum">'Course Ledger DATA'!$I$19</definedName>
    <definedName name="WVAPWHNum">'Course Ledger DATA'!$C$19</definedName>
    <definedName name="WVPop">'Course Ledger DATA'!$F$19</definedName>
    <definedName name="WYAPNum">'Course Ledger DATA'!$I$52</definedName>
    <definedName name="WYAPWHNum">'Course Ledger DATA'!$C$52</definedName>
    <definedName name="WYPop">'Course Ledger DATA'!$F$52</definedName>
    <definedName name="Year" localSheetId="48">'IPR DATA'!#REF!</definedName>
    <definedName name="Year">'2002 MC Section DATA'!$E$5</definedName>
  </definedNames>
  <calcPr fullCalcOnLoad="1"/>
</workbook>
</file>

<file path=xl/sharedStrings.xml><?xml version="1.0" encoding="utf-8"?>
<sst xmlns="http://schemas.openxmlformats.org/spreadsheetml/2006/main" count="588" uniqueCount="313">
  <si>
    <t>51-60</t>
  </si>
  <si>
    <t>41-50</t>
  </si>
  <si>
    <t>31-40</t>
  </si>
  <si>
    <t>21-30</t>
  </si>
  <si>
    <t>0-10</t>
  </si>
  <si>
    <t>Total</t>
  </si>
  <si>
    <t>11-20</t>
  </si>
  <si>
    <t># Correct</t>
  </si>
  <si>
    <t>% Correct</t>
  </si>
  <si>
    <t>Adjusted Score</t>
  </si>
  <si>
    <t>Should I Guess?</t>
  </si>
  <si>
    <t>1/4 Correct</t>
  </si>
  <si>
    <t>1/2 Correct</t>
  </si>
  <si>
    <t>1/3 Correct</t>
  </si>
  <si>
    <t>1/5 Correct (Random Guessing)</t>
  </si>
  <si>
    <t>All Incorrect</t>
  </si>
  <si>
    <t>All Correct Answers</t>
  </si>
  <si>
    <t>Blank/No Answer</t>
  </si>
  <si>
    <t>Bill Strickland</t>
  </si>
  <si>
    <t>East Grand Rapids HS</t>
  </si>
  <si>
    <t>East Grand Rapids, MI</t>
  </si>
  <si>
    <t>bstrickl@egrps.org</t>
  </si>
  <si>
    <t>Scores by Raw %</t>
  </si>
  <si>
    <t>Scores by Raw #</t>
  </si>
  <si>
    <t>Final Score</t>
  </si>
  <si>
    <t>M/C Section Multiplier</t>
  </si>
  <si>
    <t>Weighted Score</t>
  </si>
  <si>
    <t>0-23</t>
  </si>
  <si>
    <t>24-32</t>
  </si>
  <si>
    <t>33-42</t>
  </si>
  <si>
    <t>43-51</t>
  </si>
  <si>
    <t>52-60</t>
  </si>
  <si>
    <t>61+</t>
  </si>
  <si>
    <t>0-33%</t>
  </si>
  <si>
    <t>34-46%</t>
  </si>
  <si>
    <t>47-60%</t>
  </si>
  <si>
    <t>61-73%</t>
  </si>
  <si>
    <t>74-86%</t>
  </si>
  <si>
    <t>87% +</t>
  </si>
  <si>
    <t>% of Students</t>
  </si>
  <si>
    <t>Score Distribution Area Graph</t>
  </si>
  <si>
    <t>Sample Student Score Scenarios</t>
  </si>
  <si>
    <t># MC ?'s Correct</t>
  </si>
  <si>
    <t># Incorrect</t>
  </si>
  <si>
    <t># skipped</t>
  </si>
  <si>
    <t>DBQ</t>
  </si>
  <si>
    <t>C&amp;C</t>
  </si>
  <si>
    <t>Composite Score</t>
  </si>
  <si>
    <t>AP Grade</t>
  </si>
  <si>
    <t>DBQ Weighted Score</t>
  </si>
  <si>
    <t>CCOT Weighted Score</t>
  </si>
  <si>
    <t>C&amp;C Weighted Score</t>
  </si>
  <si>
    <t>Essay Weight</t>
  </si>
  <si>
    <t>Essay Section Score</t>
  </si>
  <si>
    <t>Composite Score Boundaries</t>
  </si>
  <si>
    <t>Needed for 2</t>
  </si>
  <si>
    <t>Needed for 3</t>
  </si>
  <si>
    <t>Needed for 4</t>
  </si>
  <si>
    <t>Needed for 5</t>
  </si>
  <si>
    <t>Weighted MC Score</t>
  </si>
  <si>
    <t>COT</t>
  </si>
  <si>
    <t>Weight of Essay Point Relative to MC Question</t>
  </si>
  <si>
    <t>Student A Score = 26</t>
  </si>
  <si>
    <t>Student B Score = 37</t>
  </si>
  <si>
    <t>Student C Score = 56</t>
  </si>
  <si>
    <t>Student D Score = 57</t>
  </si>
  <si>
    <t>Student E Score = 58</t>
  </si>
  <si>
    <t>Student F Score = 79</t>
  </si>
  <si>
    <t>If Test had 70 Questions</t>
  </si>
  <si>
    <t>2002 Specific (only 69 questions)</t>
  </si>
  <si>
    <t>Essay Weight makes the 27 possible essay points "fit" into 60 possible points</t>
  </si>
  <si>
    <t>This calcuation is true "at the margin". Technically, each essay point is worth 2.59 m/c questions (70/27)</t>
  </si>
  <si>
    <t>Check w/ ETS to see if I've calculated this correctly</t>
  </si>
  <si>
    <t>"Normal" 70 Question Test</t>
  </si>
  <si>
    <t>I defined m/c question as worth 1.25 points. (The difference between "right" or "wrong", no "blank/skipped" possible)</t>
  </si>
  <si>
    <t>Weighted Multiple Choice Section</t>
  </si>
  <si>
    <t>Perfect Score=120</t>
  </si>
  <si>
    <t>East Grand Rapids High School</t>
  </si>
  <si>
    <t>World</t>
  </si>
  <si>
    <t>US</t>
  </si>
  <si>
    <t>Europe</t>
  </si>
  <si>
    <t>AP World History Essay Question Averages</t>
  </si>
  <si>
    <t>Question</t>
  </si>
  <si>
    <t>Average</t>
  </si>
  <si>
    <t>CCOT</t>
  </si>
  <si>
    <t>Comparative</t>
  </si>
  <si>
    <t>Cumulative Score</t>
  </si>
  <si>
    <t>2002 Essay Scores Distribution</t>
  </si>
  <si>
    <t>Score</t>
  </si>
  <si>
    <t>Christian/Muslim Trade Attitudes</t>
  </si>
  <si>
    <t>Global Trade 1750-present</t>
  </si>
  <si>
    <t>China &amp; Japan's Responses</t>
  </si>
  <si>
    <t>No Response</t>
  </si>
  <si>
    <t>Standard Deviations</t>
  </si>
  <si>
    <t>Total # of Students</t>
  </si>
  <si>
    <t>2nd Semester Exam</t>
  </si>
  <si>
    <t>Cumulative %</t>
  </si>
  <si>
    <t>Comparative Cumulative %</t>
  </si>
  <si>
    <t>Direct Comparison</t>
  </si>
  <si>
    <t>Question #</t>
  </si>
  <si>
    <t>Average of Previous 10 Questions</t>
  </si>
  <si>
    <t>Cumulative Average</t>
  </si>
  <si>
    <t>Average of 10 Questions</t>
  </si>
  <si>
    <t>National Average</t>
  </si>
  <si>
    <t>% of EGRHS Students Correct</t>
  </si>
  <si>
    <t>National Cumulative Avg</t>
  </si>
  <si>
    <t>EGR Cumulative Avg</t>
  </si>
  <si>
    <t># of students Correct</t>
  </si>
  <si>
    <t># of Students Incorrect</t>
  </si>
  <si>
    <t>Nat'l Avg of 10</t>
  </si>
  <si>
    <t>EGR Avg of 10</t>
  </si>
  <si>
    <t>Nat'l Avg</t>
  </si>
  <si>
    <t>EGR Avg</t>
  </si>
  <si>
    <t>2002 APWH Data</t>
  </si>
  <si>
    <t>Percents</t>
  </si>
  <si>
    <t>Raw Number</t>
  </si>
  <si>
    <t>Overall Score</t>
  </si>
  <si>
    <t>Freshmen 3%</t>
  </si>
  <si>
    <t>Soph 69%</t>
  </si>
  <si>
    <t>Juniors 15%</t>
  </si>
  <si>
    <t>Seniors 9%</t>
  </si>
  <si>
    <t>Overall</t>
  </si>
  <si>
    <t>APWH Specific</t>
  </si>
  <si>
    <t>Frosh</t>
  </si>
  <si>
    <t>Soph</t>
  </si>
  <si>
    <t>Juniors</t>
  </si>
  <si>
    <t>Seniors</t>
  </si>
  <si>
    <t>Other</t>
  </si>
  <si>
    <t>2003 APWH Data</t>
  </si>
  <si>
    <t>Freshmen 4%</t>
  </si>
  <si>
    <t>Soph 74%</t>
  </si>
  <si>
    <t>Juniors 12%</t>
  </si>
  <si>
    <t>Seniors 8%</t>
  </si>
  <si>
    <t>Longitudinal by Grade Level</t>
  </si>
  <si>
    <t>Freshmen</t>
  </si>
  <si>
    <t>Sophomores</t>
  </si>
  <si>
    <t>2004 APWH Data</t>
  </si>
  <si>
    <t>Soph 75%</t>
  </si>
  <si>
    <t>Juniors 10%</t>
  </si>
  <si>
    <t>Seniors 7%</t>
  </si>
  <si>
    <t>National AP Data</t>
  </si>
  <si>
    <t>Year</t>
  </si>
  <si>
    <t># of Exams</t>
  </si>
  <si>
    <t>Passing Rate</t>
  </si>
  <si>
    <t>Mean Score</t>
  </si>
  <si>
    <t>Examination Grade</t>
  </si>
  <si>
    <t>World History</t>
  </si>
  <si>
    <t>Number of Students</t>
  </si>
  <si>
    <t>3 or Higher</t>
  </si>
  <si>
    <t>% 3 or Higher</t>
  </si>
  <si>
    <t xml:space="preserve">Mean Grade </t>
  </si>
  <si>
    <t>Standard Deviation</t>
  </si>
  <si>
    <t>Year to Year Growth Rate</t>
  </si>
  <si>
    <t>Absolute Growth</t>
  </si>
  <si>
    <t># of Readers</t>
  </si>
  <si>
    <t># of Exams/Reader</t>
  </si>
  <si>
    <t>Why Take AP?</t>
  </si>
  <si>
    <t>Setting the Stage</t>
  </si>
  <si>
    <t>Do What Works: How Proven Practices Can Improve America's Public Schools," by Tom Luce and Lee Thompson (available at www.communitiesjust4kids.org)</t>
  </si>
  <si>
    <t>http://www.communitiesjust4kids.org/images/DoWhatWorksSample11-1-04.pdf</t>
  </si>
  <si>
    <t>http://www.washingtonpost.com/wp-dyn/articles/A6900-2004Nov23.html</t>
  </si>
  <si>
    <t>Likelihood of Graduating College</t>
  </si>
  <si>
    <t>Number</t>
  </si>
  <si>
    <t>Took AP course and passed an AP Exam in High School</t>
  </si>
  <si>
    <t>Took AP course but did not pass AP Exam in High School</t>
  </si>
  <si>
    <t>Did not take AP course in High School</t>
  </si>
  <si>
    <t>Anglo</t>
  </si>
  <si>
    <t>Hispanic</t>
  </si>
  <si>
    <t>African American</t>
  </si>
  <si>
    <t>Low Income</t>
  </si>
  <si>
    <t>Readiness for College</t>
  </si>
  <si>
    <t>Took AP course and passed an AP Exam in HS</t>
  </si>
  <si>
    <t>Took AP course but did not pass AP Exam</t>
  </si>
  <si>
    <t>Did Not Take AP Exam</t>
  </si>
  <si>
    <t>Average 1st Year GPA</t>
  </si>
  <si>
    <t>Chrys Dougherty, Lynn Mellor, and Shuling Jian, The Relationship Between Advanced Placement and</t>
  </si>
  <si>
    <t>College Graduation (National Center for Educational Accountability, 2006)</t>
  </si>
  <si>
    <t>Student Group</t>
  </si>
  <si>
    <t>AP Exam Grade of 3-4-5</t>
  </si>
  <si>
    <t>AP Exam Grade of 1-2</t>
  </si>
  <si>
    <t>Took AP Course, but not Exam</t>
  </si>
  <si>
    <t>White</t>
  </si>
  <si>
    <t>Not Low Income</t>
  </si>
  <si>
    <t>While 57 percent of the 2004 high school graduates entered college last fall, only 21 percent had taken an AP course in high school. And the majority of students taking AP classes today take just one course during their entire high school careers.</t>
  </si>
  <si>
    <t>HS Students Not Entering College</t>
  </si>
  <si>
    <t>HS Students Entering College without an AP course</t>
  </si>
  <si>
    <t>HS Students Entering College with an AP Course</t>
  </si>
  <si>
    <t>AP World Examinees</t>
  </si>
  <si>
    <t>Total AP Examinees</t>
  </si>
  <si>
    <t>Public High School Graduates</t>
  </si>
  <si>
    <t>Asian</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</si>
  <si>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</si>
  <si>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</si>
  <si>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</si>
  <si>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</si>
  <si>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</si>
  <si>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</si>
  <si>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</si>
  <si>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</si>
  <si>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</si>
  <si>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</si>
  <si>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</si>
  <si>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</si>
  <si>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</si>
  <si>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</si>
  <si>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</si>
  <si>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</si>
  <si>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</si>
  <si>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</si>
  <si>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</si>
  <si>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</si>
  <si>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</si>
  <si>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</si>
  <si>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</si>
  <si>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</si>
  <si>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</si>
  <si>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</si>
  <si>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</si>
  <si>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</si>
  <si>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</si>
  <si>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</si>
  <si>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</si>
  <si>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</si>
  <si>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</si>
  <si>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</si>
  <si>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</si>
  <si>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</si>
  <si>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</si>
  <si>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</si>
  <si>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</si>
  <si>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</si>
  <si>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</si>
  <si>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</si>
  <si>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</si>
  <si>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</si>
  <si>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</si>
  <si>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</si>
  <si>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</si>
  <si>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</si>
  <si>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</si>
  <si>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</si>
  <si>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</si>
  <si>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</si>
  <si>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New England</t>
  </si>
  <si>
    <t>Middle States</t>
  </si>
  <si>
    <t>West</t>
  </si>
  <si>
    <t>Midwest</t>
  </si>
  <si>
    <t>South</t>
  </si>
  <si>
    <t>Southwest</t>
  </si>
  <si>
    <t>Region</t>
  </si>
  <si>
    <t># Rank</t>
  </si>
  <si>
    <t>Overall Population</t>
  </si>
  <si>
    <t>2005 Overall Population</t>
  </si>
  <si>
    <t>Rank/Population</t>
  </si>
  <si>
    <t>Schools/1,000,000 Population</t>
  </si>
  <si>
    <t>Total AP Schools</t>
  </si>
  <si>
    <t>Percent of APWH Schools</t>
  </si>
  <si>
    <t>States</t>
  </si>
  <si>
    <t xml:space="preserve">DC, DE, MD, NJ, NY, PA </t>
  </si>
  <si>
    <t>CT, MA, ME, NH, RI, VT</t>
  </si>
  <si>
    <t>AL, FL, GA, KY, LA, MS, NC, SC, TN, VA</t>
  </si>
  <si>
    <t>AR, NM, OK, TX</t>
  </si>
  <si>
    <t>AK, AZ, CA, CO, HI, ID, MT, NV, OR, UT, WA, WY</t>
  </si>
  <si>
    <t>IL, IN, IA, KS, MI, MN, MO, NE, ND, OH, SD, WV, WI</t>
  </si>
  <si>
    <t>APWH Schools/1,000,000 Population</t>
  </si>
  <si>
    <t># of APWH Schools</t>
  </si>
  <si>
    <t># of AP Schools</t>
  </si>
  <si>
    <t>% of Overall US Population</t>
  </si>
  <si>
    <t>% of all APWH-offering Schools</t>
  </si>
  <si>
    <t>% of all AP-offering Schools</t>
  </si>
  <si>
    <t>% of AP Schools offering APWH</t>
  </si>
  <si>
    <t>Region's % of all APWH Summer Institutes</t>
  </si>
  <si>
    <t>Region's % of AP Schools offering APWH</t>
  </si>
  <si>
    <t>Black or African American</t>
  </si>
  <si>
    <t>Hispanic or Latino</t>
  </si>
  <si>
    <t>American Indian or Alaska Native</t>
  </si>
  <si>
    <t>Student A</t>
  </si>
  <si>
    <t>Student B</t>
  </si>
  <si>
    <t>Student C</t>
  </si>
  <si>
    <t>Student D</t>
  </si>
  <si>
    <t>Student E</t>
  </si>
  <si>
    <t>Student F</t>
  </si>
  <si>
    <t>Perfect Score</t>
  </si>
  <si>
    <t>Composite Score = 26</t>
  </si>
  <si>
    <t>Composite Score = 120</t>
  </si>
  <si>
    <t>Composite Score = 79</t>
  </si>
  <si>
    <t>Composite Score = 55</t>
  </si>
  <si>
    <t>Composite Score = 56</t>
  </si>
  <si>
    <t>Composite Score = 37</t>
  </si>
  <si>
    <t>by 10s</t>
  </si>
  <si>
    <t>As a % of 5s</t>
  </si>
  <si>
    <t>2007 Essay Scores Distribution</t>
  </si>
  <si>
    <t>Rome vs. Han Tech Attitudes</t>
  </si>
  <si>
    <t>20th C Nat'l Identities</t>
  </si>
  <si>
    <t>Sp/Otto/Rus Empire Building Process</t>
  </si>
  <si>
    <t xml:space="preserve">   </t>
  </si>
  <si>
    <t>Average = 4.26</t>
  </si>
  <si>
    <t>Average = 3.32</t>
  </si>
  <si>
    <t>Average = 3.14</t>
  </si>
  <si>
    <t>Average = 2.84</t>
  </si>
  <si>
    <t>Average = 1.45</t>
  </si>
  <si>
    <t>Average = 2.99</t>
  </si>
  <si>
    <t>2002 Cumulative Average</t>
  </si>
  <si>
    <t>2007 Cumulative Average</t>
  </si>
  <si>
    <t>Drop in Essay Points 2002-2007</t>
  </si>
  <si>
    <t>Rise in MC Scores, 2002-2007</t>
  </si>
  <si>
    <t>Diference</t>
  </si>
  <si>
    <t># of Schools</t>
  </si>
  <si>
    <t>Avg # of Students/School</t>
  </si>
  <si>
    <t>http://www.egrps.org/~BStrickl/apwh.html</t>
  </si>
  <si>
    <t>Multiple Choice Section</t>
  </si>
  <si>
    <t>Essay Section</t>
  </si>
  <si>
    <t>Average # of Students/School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</si>
</sst>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0.00000000"/>
    <numFmt numFmtId="174" formatCode="0.0000000000"/>
  </numFmts>
  <fonts count="65">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b/>
      <sz val="14"/>
      <name val="Geneva"/>
      <family val="0"/>
    </font>
    <font>
      <b/>
      <sz val="18"/>
      <name val="Arial"/>
      <family val="2"/>
    </font>
    <font>
      <sz val="10"/>
      <name val="Arial"/>
      <family val="0"/>
    </font>
    <font>
      <b/>
      <sz val="10"/>
      <name val="Arial"/>
      <family val="2"/>
    </font>
    <font>
      <b/>
      <sz val="12"/>
      <name val="Arial"/>
      <family val="2"/>
    </font>
    <font>
      <b/>
      <sz val="14"/>
      <name val="Arial"/>
      <family val="2"/>
    </font>
    <font>
      <sz val="8"/>
      <name val="Arial"/>
      <family val="2"/>
    </font>
    <font>
      <sz val="18"/>
      <name val="Arial"/>
      <family val="2"/>
    </font>
    <font>
      <sz val="11"/>
      <name val="Arial"/>
      <family val="2"/>
    </font>
    <font>
      <sz val="14"/>
      <name val="Arial"/>
      <family val="2"/>
    </font>
    <font>
      <b/>
      <sz val="16"/>
      <name val="Arial"/>
      <family val="2"/>
    </font>
    <font>
      <b/>
      <sz val="11"/>
      <name val="Arial"/>
      <family val="2"/>
    </font>
    <font>
      <sz val="11.75"/>
      <name val="Arial"/>
      <family val="2"/>
    </font>
    <font>
      <b/>
      <sz val="13.75"/>
      <name val="Arial"/>
      <family val="2"/>
    </font>
    <font>
      <b/>
      <sz val="15.75"/>
      <name val="Arial"/>
      <family val="2"/>
    </font>
    <font>
      <u val="single"/>
      <sz val="10"/>
      <color indexed="12"/>
      <name val="Arial"/>
      <family val="0"/>
    </font>
    <font>
      <i/>
      <sz val="10"/>
      <name val="Arial"/>
      <family val="2"/>
    </font>
    <font>
      <b/>
      <sz val="11"/>
      <name val="Ariel"/>
      <family val="0"/>
    </font>
    <font>
      <b/>
      <vertAlign val="superscript"/>
      <sz val="11"/>
      <name val="Ariel"/>
      <family val="0"/>
    </font>
    <font>
      <b/>
      <sz val="16"/>
      <name val="Ariel"/>
      <family val="0"/>
    </font>
    <font>
      <b/>
      <sz val="10"/>
      <name val="Geneva"/>
      <family val="0"/>
    </font>
    <font>
      <b/>
      <sz val="18"/>
      <name val="Geneva"/>
      <family val="0"/>
    </font>
    <font>
      <sz val="14"/>
      <name val="Geneva"/>
      <family val="0"/>
    </font>
    <font>
      <b/>
      <sz val="13"/>
      <name val="Geneva"/>
      <family val="0"/>
    </font>
    <font>
      <b/>
      <sz val="12"/>
      <name val="Geneva"/>
      <family val="0"/>
    </font>
    <font>
      <b/>
      <sz val="18"/>
      <name val="Helvetica"/>
      <family val="2"/>
    </font>
    <font>
      <b/>
      <sz val="14"/>
      <name val="Helvetica"/>
      <family val="2"/>
    </font>
    <font>
      <b/>
      <u val="single"/>
      <sz val="14"/>
      <name val="Helvetica"/>
      <family val="2"/>
    </font>
    <font>
      <b/>
      <u val="single"/>
      <sz val="14"/>
      <name val="Arial"/>
      <family val="2"/>
    </font>
    <font>
      <b/>
      <sz val="24"/>
      <name val="Arial"/>
      <family val="2"/>
    </font>
    <font>
      <sz val="8.75"/>
      <name val="Arial"/>
      <family val="0"/>
    </font>
    <font>
      <b/>
      <sz val="10.75"/>
      <name val="Arial"/>
      <family val="2"/>
    </font>
    <font>
      <b/>
      <sz val="13.25"/>
      <name val="Arial"/>
      <family val="2"/>
    </font>
    <font>
      <sz val="9.25"/>
      <name val="Arial"/>
      <family val="0"/>
    </font>
    <font>
      <b/>
      <sz val="15"/>
      <name val="Arial"/>
      <family val="2"/>
    </font>
    <font>
      <b/>
      <i/>
      <sz val="14"/>
      <name val="Arial"/>
      <family val="2"/>
    </font>
    <font>
      <b/>
      <i/>
      <u val="single"/>
      <sz val="14"/>
      <name val="Arial"/>
      <family val="2"/>
    </font>
    <font>
      <b/>
      <sz val="11.5"/>
      <name val="Arial"/>
      <family val="2"/>
    </font>
    <font>
      <b/>
      <sz val="17.25"/>
      <name val="Arial"/>
      <family val="2"/>
    </font>
    <font>
      <sz val="9.5"/>
      <name val="Arial"/>
      <family val="0"/>
    </font>
    <font>
      <b/>
      <sz val="9"/>
      <name val="Arial"/>
      <family val="2"/>
    </font>
    <font>
      <b/>
      <sz val="16"/>
      <name val="Helvetica"/>
      <family val="2"/>
    </font>
    <font>
      <sz val="16"/>
      <name val="Helvetica"/>
      <family val="2"/>
    </font>
    <font>
      <b/>
      <sz val="10.5"/>
      <name val="Ariel"/>
      <family val="0"/>
    </font>
    <font>
      <b/>
      <vertAlign val="superscript"/>
      <sz val="10.5"/>
      <name val="Ariel"/>
      <family val="0"/>
    </font>
    <font>
      <b/>
      <sz val="11.25"/>
      <name val="Arial"/>
      <family val="2"/>
    </font>
    <font>
      <b/>
      <sz val="10.25"/>
      <name val="Arial"/>
      <family val="2"/>
    </font>
    <font>
      <b/>
      <sz val="13"/>
      <name val="Arial"/>
      <family val="2"/>
    </font>
    <font>
      <b/>
      <sz val="9.75"/>
      <name val="Arial"/>
      <family val="2"/>
    </font>
    <font>
      <sz val="12"/>
      <name val="Arial"/>
      <family val="2"/>
    </font>
    <font>
      <b/>
      <vertAlign val="superscript"/>
      <sz val="14"/>
      <name val="Arial"/>
      <family val="2"/>
    </font>
    <font>
      <b/>
      <sz val="8.5"/>
      <name val="Arial"/>
      <family val="2"/>
    </font>
    <font>
      <b/>
      <sz val="8"/>
      <name val="Arial"/>
      <family val="2"/>
    </font>
    <font>
      <b/>
      <sz val="18"/>
      <color indexed="10"/>
      <name val="Arial"/>
      <family val="2"/>
    </font>
    <font>
      <b/>
      <sz val="18"/>
      <color indexed="12"/>
      <name val="Arial"/>
      <family val="2"/>
    </font>
    <font>
      <sz val="13"/>
      <name val="Arial"/>
      <family val="2"/>
    </font>
    <font>
      <b/>
      <sz val="9"/>
      <name val="Ariel"/>
      <family val="0"/>
    </font>
    <font>
      <b/>
      <sz val="11"/>
      <name val="Geneva"/>
      <family val="0"/>
    </font>
    <font>
      <b/>
      <i/>
      <sz val="12"/>
      <name val="Arial"/>
      <family val="2"/>
    </font>
  </fonts>
  <fills count="2">
    <fill>
      <patternFill/>
    </fill>
    <fill>
      <patternFill patternType="gray125"/>
    </fill>
  </fills>
  <borders count="1">
    <border>
      <left/>
      <right/>
      <top/>
      <bottom/>
      <diagonal/>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cellStyleXfs>
  <cellXfs count="64">
    <xf numFmtId="0" fontId="0" fillId="0" borderId="0" xfId="0" applyAlignment="1">
      <alignment/>
    </xf>
    <xf numFmtId="0" fontId="1" fillId="0" borderId="0" xfId="0" applyNumberFormat="1" applyFont="1" applyAlignment="1" quotePrefix="1">
      <alignment horizontal="center"/>
    </xf>
    <xf numFmtId="0" fontId="1" fillId="0" borderId="0" xfId="0" applyNumberFormat="1" applyFont="1" applyAlignment="1">
      <alignment horizontal="center"/>
    </xf>
    <xf numFmtId="0" fontId="0" fillId="0" borderId="0" xfId="0" applyFont="1" applyAlignment="1">
      <alignment/>
    </xf>
    <xf numFmtId="2" fontId="0" fillId="0" borderId="0" xfId="0" applyNumberFormat="1" applyAlignment="1">
      <alignment/>
    </xf>
    <xf numFmtId="16" fontId="0" fillId="0" borderId="0" xfId="0" applyNumberFormat="1" applyAlignment="1">
      <alignment/>
    </xf>
    <xf numFmtId="9" fontId="0" fillId="0" borderId="0" xfId="0" applyNumberFormat="1" applyAlignment="1">
      <alignment/>
    </xf>
    <xf numFmtId="16" fontId="1" fillId="0" borderId="0" xfId="0" applyNumberFormat="1" applyFont="1" applyAlignment="1" quotePrefix="1">
      <alignment horizontal="center"/>
    </xf>
    <xf numFmtId="9" fontId="0" fillId="0" borderId="0" xfId="0" applyNumberFormat="1" applyAlignment="1">
      <alignment horizontal="center"/>
    </xf>
    <xf numFmtId="1" fontId="0" fillId="0" borderId="0" xfId="0" applyNumberFormat="1" applyAlignment="1">
      <alignment/>
    </xf>
    <xf numFmtId="0" fontId="0" fillId="0" borderId="0" xfId="0" applyAlignment="1">
      <alignment horizontal="center"/>
    </xf>
    <xf numFmtId="166" fontId="0" fillId="0" borderId="0" xfId="0" applyNumberFormat="1" applyAlignment="1">
      <alignment horizontal="center"/>
    </xf>
    <xf numFmtId="0" fontId="6" fillId="0" borderId="0" xfId="0" applyFont="1" applyAlignment="1">
      <alignment/>
    </xf>
    <xf numFmtId="166" fontId="0" fillId="0" borderId="0" xfId="0" applyNumberFormat="1" applyAlignment="1">
      <alignment/>
    </xf>
    <xf numFmtId="166" fontId="6" fillId="0" borderId="0" xfId="0" applyNumberFormat="1" applyFont="1" applyAlignment="1">
      <alignment/>
    </xf>
    <xf numFmtId="10" fontId="0" fillId="0" borderId="0" xfId="0" applyNumberFormat="1" applyAlignment="1">
      <alignment/>
    </xf>
    <xf numFmtId="0" fontId="8" fillId="0" borderId="0" xfId="24" applyFont="1">
      <alignment/>
      <protection/>
    </xf>
    <xf numFmtId="165" fontId="22" fillId="0" borderId="0" xfId="24" applyNumberFormat="1" applyFont="1">
      <alignment/>
      <protection/>
    </xf>
    <xf numFmtId="165" fontId="8" fillId="0" borderId="0" xfId="24" applyNumberFormat="1" applyFont="1">
      <alignment/>
      <protection/>
    </xf>
    <xf numFmtId="0" fontId="22" fillId="0" borderId="0" xfId="24" applyFont="1">
      <alignment/>
      <protection/>
    </xf>
    <xf numFmtId="165" fontId="8" fillId="0" borderId="0" xfId="24" applyNumberFormat="1" applyFont="1" applyBorder="1" applyAlignment="1">
      <alignment horizontal="right"/>
      <protection/>
    </xf>
    <xf numFmtId="2" fontId="0" fillId="0" borderId="0" xfId="0" applyNumberFormat="1" applyFont="1" applyAlignment="1">
      <alignment/>
    </xf>
    <xf numFmtId="2" fontId="0" fillId="0" borderId="0" xfId="0" applyNumberFormat="1" applyFont="1" applyAlignment="1">
      <alignment/>
    </xf>
    <xf numFmtId="164" fontId="0" fillId="0" borderId="0" xfId="0" applyNumberFormat="1" applyAlignment="1">
      <alignment/>
    </xf>
    <xf numFmtId="165" fontId="0" fillId="0" borderId="0" xfId="0" applyNumberFormat="1" applyAlignment="1">
      <alignment/>
    </xf>
    <xf numFmtId="1" fontId="0" fillId="0" borderId="0" xfId="0" applyNumberFormat="1" applyFont="1" applyAlignment="1">
      <alignment/>
    </xf>
    <xf numFmtId="0" fontId="4" fillId="0" borderId="0" xfId="20" applyAlignment="1">
      <alignment/>
    </xf>
    <xf numFmtId="0" fontId="26" fillId="0" borderId="0" xfId="0" applyFont="1" applyAlignment="1">
      <alignment/>
    </xf>
    <xf numFmtId="0" fontId="1" fillId="0" borderId="0" xfId="0" applyFont="1" applyAlignment="1">
      <alignment/>
    </xf>
    <xf numFmtId="3" fontId="0" fillId="0" borderId="0" xfId="0" applyNumberFormat="1" applyAlignment="1">
      <alignment/>
    </xf>
    <xf numFmtId="4" fontId="0" fillId="0" borderId="0" xfId="0" applyNumberFormat="1" applyAlignment="1">
      <alignment/>
    </xf>
    <xf numFmtId="0" fontId="11" fillId="0" borderId="0" xfId="26" applyFont="1">
      <alignment/>
      <protection/>
    </xf>
    <xf numFmtId="0" fontId="8" fillId="0" borderId="0" xfId="26">
      <alignment/>
      <protection/>
    </xf>
    <xf numFmtId="0" fontId="21" fillId="0" borderId="0" xfId="22" applyFont="1" applyAlignment="1">
      <alignment/>
    </xf>
    <xf numFmtId="0" fontId="21" fillId="0" borderId="0" xfId="22" applyAlignment="1">
      <alignment/>
    </xf>
    <xf numFmtId="3" fontId="8" fillId="0" borderId="0" xfId="26" applyNumberFormat="1">
      <alignment/>
      <protection/>
    </xf>
    <xf numFmtId="9" fontId="8" fillId="0" borderId="0" xfId="26" applyNumberFormat="1">
      <alignment/>
      <protection/>
    </xf>
    <xf numFmtId="2" fontId="8" fillId="0" borderId="0" xfId="26" applyNumberFormat="1">
      <alignment/>
      <protection/>
    </xf>
    <xf numFmtId="165" fontId="8" fillId="0" borderId="0" xfId="26" applyNumberFormat="1">
      <alignment/>
      <protection/>
    </xf>
    <xf numFmtId="164" fontId="8" fillId="0" borderId="0" xfId="24" applyNumberFormat="1" applyFont="1">
      <alignment/>
      <protection/>
    </xf>
    <xf numFmtId="0" fontId="8" fillId="0" borderId="0" xfId="25">
      <alignment/>
      <protection/>
    </xf>
    <xf numFmtId="10" fontId="8" fillId="0" borderId="0" xfId="25" applyNumberFormat="1">
      <alignment/>
      <protection/>
    </xf>
    <xf numFmtId="0" fontId="8" fillId="0" borderId="0" xfId="25" applyFont="1">
      <alignment/>
      <protection/>
    </xf>
    <xf numFmtId="0" fontId="9" fillId="0" borderId="0" xfId="25" applyFont="1">
      <alignment/>
      <protection/>
    </xf>
    <xf numFmtId="0" fontId="9" fillId="0" borderId="0" xfId="25" applyFont="1" applyAlignment="1">
      <alignment horizontal="center"/>
      <protection/>
    </xf>
    <xf numFmtId="3" fontId="8" fillId="0" borderId="0" xfId="25" applyNumberFormat="1">
      <alignment/>
      <protection/>
    </xf>
    <xf numFmtId="3" fontId="9" fillId="0" borderId="0" xfId="25" applyNumberFormat="1" applyFont="1">
      <alignment/>
      <protection/>
    </xf>
    <xf numFmtId="2" fontId="8" fillId="0" borderId="0" xfId="25" applyNumberFormat="1">
      <alignment/>
      <protection/>
    </xf>
    <xf numFmtId="164" fontId="8" fillId="0" borderId="0" xfId="25" applyNumberFormat="1">
      <alignment/>
      <protection/>
    </xf>
    <xf numFmtId="9" fontId="8" fillId="0" borderId="0" xfId="25" applyNumberFormat="1">
      <alignment/>
      <protection/>
    </xf>
    <xf numFmtId="0" fontId="8" fillId="0" borderId="0" xfId="25" applyFont="1">
      <alignment/>
      <protection/>
    </xf>
    <xf numFmtId="0" fontId="8" fillId="0" borderId="0" xfId="26" applyFont="1">
      <alignment/>
      <protection/>
    </xf>
    <xf numFmtId="0" fontId="8" fillId="0" borderId="0" xfId="23">
      <alignment/>
      <protection/>
    </xf>
    <xf numFmtId="0" fontId="10" fillId="0" borderId="0" xfId="23" applyFont="1">
      <alignment/>
      <protection/>
    </xf>
    <xf numFmtId="0" fontId="21" fillId="0" borderId="0" xfId="21" applyAlignment="1">
      <alignment/>
    </xf>
    <xf numFmtId="164" fontId="8" fillId="0" borderId="0" xfId="23" applyNumberFormat="1">
      <alignment/>
      <protection/>
    </xf>
    <xf numFmtId="0" fontId="9" fillId="0" borderId="0" xfId="23" applyFont="1">
      <alignment/>
      <protection/>
    </xf>
    <xf numFmtId="0" fontId="8" fillId="0" borderId="0" xfId="23" applyFont="1">
      <alignment/>
      <protection/>
    </xf>
    <xf numFmtId="165" fontId="8" fillId="0" borderId="0" xfId="23" applyNumberFormat="1">
      <alignment/>
      <protection/>
    </xf>
    <xf numFmtId="164" fontId="8" fillId="0" borderId="0" xfId="23" applyNumberFormat="1" applyFill="1">
      <alignment/>
      <protection/>
    </xf>
    <xf numFmtId="0" fontId="8" fillId="0" borderId="0" xfId="23" applyFill="1">
      <alignment/>
      <protection/>
    </xf>
    <xf numFmtId="165" fontId="8" fillId="0" borderId="0" xfId="23" applyNumberFormat="1" applyFill="1">
      <alignment/>
      <protection/>
    </xf>
    <xf numFmtId="165" fontId="8" fillId="0" borderId="0" xfId="23" applyNumberFormat="1" applyFill="1" applyBorder="1">
      <alignment/>
      <protection/>
    </xf>
    <xf numFmtId="0" fontId="8" fillId="0" borderId="0" xfId="23" applyFont="1">
      <alignment/>
      <protection/>
    </xf>
  </cellXfs>
  <cellStyles count="14">
    <cellStyle name="Normal" xfId="0"/>
    <cellStyle name="Comma" xfId="15"/>
    <cellStyle name="Comma [0]" xfId="16"/>
    <cellStyle name="Currency" xfId="17"/>
    <cellStyle name="Currency [0]" xfId="18"/>
    <cellStyle name="Followed Hyperlink" xfId="19"/>
    <cellStyle name="Hyperlink" xfId="20"/>
    <cellStyle name="Hyperlink_2008_IPR_Template" xfId="21"/>
    <cellStyle name="Hyperlink_Why Take AP" xfId="22"/>
    <cellStyle name="Normal_2008_IPR_Template" xfId="23"/>
    <cellStyle name="Normal_AP Histories 2002-2006" xfId="24"/>
    <cellStyle name="Normal_Book1" xfId="25"/>
    <cellStyle name="Normal_Why Take AP"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chartsheet" Target="chartsheets/sheet10.xml" /><Relationship Id="rId11" Type="http://schemas.openxmlformats.org/officeDocument/2006/relationships/chartsheet" Target="chartsheets/sheet11.xml" /><Relationship Id="rId12" Type="http://schemas.openxmlformats.org/officeDocument/2006/relationships/chartsheet" Target="chartsheets/sheet12.xml" /><Relationship Id="rId13" Type="http://schemas.openxmlformats.org/officeDocument/2006/relationships/chartsheet" Target="chartsheets/sheet13.xml" /><Relationship Id="rId14" Type="http://schemas.openxmlformats.org/officeDocument/2006/relationships/chartsheet" Target="chartsheets/sheet14.xml" /><Relationship Id="rId15" Type="http://schemas.openxmlformats.org/officeDocument/2006/relationships/chartsheet" Target="chartsheets/sheet15.xml" /><Relationship Id="rId16" Type="http://schemas.openxmlformats.org/officeDocument/2006/relationships/chartsheet" Target="chartsheets/sheet16.xml" /><Relationship Id="rId17" Type="http://schemas.openxmlformats.org/officeDocument/2006/relationships/chartsheet" Target="chartsheets/sheet17.xml" /><Relationship Id="rId18" Type="http://schemas.openxmlformats.org/officeDocument/2006/relationships/chartsheet" Target="chartsheets/sheet18.xml" /><Relationship Id="rId19" Type="http://schemas.openxmlformats.org/officeDocument/2006/relationships/chartsheet" Target="chartsheets/sheet19.xml" /><Relationship Id="rId20" Type="http://schemas.openxmlformats.org/officeDocument/2006/relationships/chartsheet" Target="chartsheets/sheet20.xml" /><Relationship Id="rId21" Type="http://schemas.openxmlformats.org/officeDocument/2006/relationships/chartsheet" Target="chartsheets/sheet21.xml" /><Relationship Id="rId22" Type="http://schemas.openxmlformats.org/officeDocument/2006/relationships/chartsheet" Target="chartsheets/sheet22.xml" /><Relationship Id="rId23" Type="http://schemas.openxmlformats.org/officeDocument/2006/relationships/chartsheet" Target="chartsheets/sheet23.xml" /><Relationship Id="rId24" Type="http://schemas.openxmlformats.org/officeDocument/2006/relationships/chartsheet" Target="chartsheets/sheet24.xml" /><Relationship Id="rId25" Type="http://schemas.openxmlformats.org/officeDocument/2006/relationships/chartsheet" Target="chartsheets/sheet25.xml" /><Relationship Id="rId26" Type="http://schemas.openxmlformats.org/officeDocument/2006/relationships/chartsheet" Target="chartsheets/sheet26.xml" /><Relationship Id="rId27" Type="http://schemas.openxmlformats.org/officeDocument/2006/relationships/chartsheet" Target="chartsheets/sheet27.xml" /><Relationship Id="rId28" Type="http://schemas.openxmlformats.org/officeDocument/2006/relationships/chartsheet" Target="chartsheets/sheet28.xml" /><Relationship Id="rId29" Type="http://schemas.openxmlformats.org/officeDocument/2006/relationships/chartsheet" Target="chartsheets/sheet29.xml" /><Relationship Id="rId30" Type="http://schemas.openxmlformats.org/officeDocument/2006/relationships/chartsheet" Target="chartsheets/sheet30.xml" /><Relationship Id="rId31" Type="http://schemas.openxmlformats.org/officeDocument/2006/relationships/chartsheet" Target="chartsheets/sheet31.xml" /><Relationship Id="rId32" Type="http://schemas.openxmlformats.org/officeDocument/2006/relationships/chartsheet" Target="chartsheets/sheet32.xml" /><Relationship Id="rId33" Type="http://schemas.openxmlformats.org/officeDocument/2006/relationships/chartsheet" Target="chartsheets/sheet33.xml" /><Relationship Id="rId34" Type="http://schemas.openxmlformats.org/officeDocument/2006/relationships/chartsheet" Target="chartsheets/sheet34.xml" /><Relationship Id="rId35" Type="http://schemas.openxmlformats.org/officeDocument/2006/relationships/chartsheet" Target="chartsheets/sheet35.xml" /><Relationship Id="rId36" Type="http://schemas.openxmlformats.org/officeDocument/2006/relationships/chartsheet" Target="chartsheets/sheet36.xml" /><Relationship Id="rId37" Type="http://schemas.openxmlformats.org/officeDocument/2006/relationships/chartsheet" Target="chartsheets/sheet37.xml" /><Relationship Id="rId38" Type="http://schemas.openxmlformats.org/officeDocument/2006/relationships/chartsheet" Target="chartsheets/sheet38.xml" /><Relationship Id="rId39" Type="http://schemas.openxmlformats.org/officeDocument/2006/relationships/worksheet" Target="worksheets/sheet1.xml" /><Relationship Id="rId40" Type="http://schemas.openxmlformats.org/officeDocument/2006/relationships/worksheet" Target="worksheets/sheet2.xml" /><Relationship Id="rId41" Type="http://schemas.openxmlformats.org/officeDocument/2006/relationships/worksheet" Target="worksheets/sheet3.xml" /><Relationship Id="rId42" Type="http://schemas.openxmlformats.org/officeDocument/2006/relationships/worksheet" Target="worksheets/sheet4.xml" /><Relationship Id="rId43" Type="http://schemas.openxmlformats.org/officeDocument/2006/relationships/worksheet" Target="worksheets/sheet5.xml" /><Relationship Id="rId44" Type="http://schemas.openxmlformats.org/officeDocument/2006/relationships/worksheet" Target="worksheets/sheet6.xml" /><Relationship Id="rId45" Type="http://schemas.openxmlformats.org/officeDocument/2006/relationships/worksheet" Target="worksheets/sheet7.xml" /><Relationship Id="rId46" Type="http://schemas.openxmlformats.org/officeDocument/2006/relationships/worksheet" Target="worksheets/sheet8.xml" /><Relationship Id="rId47" Type="http://schemas.openxmlformats.org/officeDocument/2006/relationships/worksheet" Target="worksheets/sheet9.xml" /><Relationship Id="rId48" Type="http://schemas.openxmlformats.org/officeDocument/2006/relationships/worksheet" Target="worksheets/sheet10.xml" /><Relationship Id="rId49" Type="http://schemas.openxmlformats.org/officeDocument/2006/relationships/worksheet" Target="worksheets/sheet11.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t>How Does an AP Course Distinguish High School Students?</a:t>
            </a:r>
          </a:p>
        </c:rich>
      </c:tx>
      <c:layout/>
      <c:spPr>
        <a:noFill/>
        <a:ln>
          <a:noFill/>
        </a:ln>
      </c:spPr>
    </c:title>
    <c:plotArea>
      <c:layout>
        <c:manualLayout>
          <c:xMode val="edge"/>
          <c:yMode val="edge"/>
          <c:x val="0.01675"/>
          <c:y val="0.12225"/>
          <c:w val="0.976"/>
          <c:h val="0.8565"/>
        </c:manualLayout>
      </c:layout>
      <c:barChart>
        <c:barDir val="col"/>
        <c:grouping val="clustered"/>
        <c:varyColors val="0"/>
        <c:ser>
          <c:idx val="1"/>
          <c:order val="0"/>
          <c:tx>
            <c:strRef>
              <c:f>'Why Take AP DATA'!$A$49</c:f>
              <c:strCache>
                <c:ptCount val="1"/>
                <c:pt idx="0">
                  <c:v>HS Students Not Entering College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HS Students
</a:t>
                    </a:r>
                    <a:r>
                      <a:rPr lang="en-US" cap="none" sz="1200" b="1" i="1" u="none" baseline="0"/>
                      <a:t>Not</a:t>
                    </a:r>
                    <a:r>
                      <a:rPr lang="en-US" cap="none" sz="1200" b="1" i="0" u="none" baseline="0"/>
                      <a:t> Entering College
43%</a:t>
                    </a:r>
                  </a:p>
                </c:rich>
              </c:tx>
              <c:numFmt formatCode="General" sourceLinked="1"/>
              <c:dLblPos val="inEnd"/>
              <c:showLegendKey val="0"/>
              <c:showVal val="1"/>
              <c:showBubbleSize val="0"/>
              <c:showCatName val="0"/>
              <c:showSerName val="1"/>
              <c:showPercent val="0"/>
            </c:dLbl>
            <c:numFmt formatCode="General" sourceLinked="1"/>
            <c:txPr>
              <a:bodyPr vert="horz" rot="0" anchor="ctr"/>
              <a:lstStyle/>
              <a:p>
                <a:pPr algn="ctr">
                  <a:defRPr lang="en-US" cap="none" sz="1200" b="1" i="0" u="none" baseline="0"/>
                </a:pPr>
              </a:p>
            </c:txPr>
            <c:dLblPos val="inEnd"/>
            <c:showLegendKey val="0"/>
            <c:showVal val="1"/>
            <c:showBubbleSize val="0"/>
            <c:showCatName val="0"/>
            <c:showSerName val="1"/>
            <c:showPercent val="0"/>
          </c:dLbls>
          <c:val>
            <c:numRef>
              <c:f>'Why Take AP DATA'!$C$49</c:f>
              <c:numCache>
                <c:ptCount val="1"/>
                <c:pt idx="0">
                  <c:v>0.43000000000000005</c:v>
                </c:pt>
              </c:numCache>
            </c:numRef>
          </c:val>
        </c:ser>
        <c:ser>
          <c:idx val="0"/>
          <c:order val="1"/>
          <c:tx>
            <c:strRef>
              <c:f>'Why Take AP DATA'!$A$50</c:f>
              <c:strCache>
                <c:ptCount val="1"/>
                <c:pt idx="0">
                  <c:v>HS Students Entering College without an AP course</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HS Students
Entering College
</a:t>
                    </a:r>
                    <a:r>
                      <a:rPr lang="en-US" cap="none" sz="1200" b="1" i="1" u="none" baseline="0"/>
                      <a:t>without
</a:t>
                    </a:r>
                    <a:r>
                      <a:rPr lang="en-US" cap="none" sz="1200" b="1" i="0" u="none" baseline="0"/>
                      <a:t>an AP Course
45%</a:t>
                    </a:r>
                  </a:p>
                </c:rich>
              </c:tx>
              <c:numFmt formatCode="General" sourceLinked="1"/>
              <c:dLblPos val="inEnd"/>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dLblPos val="inEnd"/>
            <c:showLegendKey val="0"/>
            <c:showVal val="1"/>
            <c:showBubbleSize val="0"/>
            <c:showCatName val="0"/>
            <c:showSerName val="1"/>
            <c:showPercent val="0"/>
            <c:separator>
</c:separator>
          </c:dLbls>
          <c:val>
            <c:numRef>
              <c:f>'Why Take AP DATA'!$C$50</c:f>
              <c:numCache>
                <c:ptCount val="1"/>
                <c:pt idx="0">
                  <c:v>0.4503</c:v>
                </c:pt>
              </c:numCache>
            </c:numRef>
          </c:val>
        </c:ser>
        <c:ser>
          <c:idx val="2"/>
          <c:order val="2"/>
          <c:tx>
            <c:strRef>
              <c:f>'Why Take AP DATA'!$A$51</c:f>
              <c:strCache>
                <c:ptCount val="1"/>
                <c:pt idx="0">
                  <c:v>HS Students Entering College with an AP Course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HS Students
Entering College
</a:t>
                    </a:r>
                    <a:r>
                      <a:rPr lang="en-US" cap="none" sz="1200" b="1" i="1" u="none" baseline="0"/>
                      <a:t>with </a:t>
                    </a:r>
                    <a:r>
                      <a:rPr lang="en-US" cap="none" sz="1200" b="1" i="0" u="none" baseline="0"/>
                      <a:t>an AP Course
12%</a:t>
                    </a:r>
                  </a:p>
                </c:rich>
              </c:tx>
              <c:numFmt formatCode="General" sourceLinked="1"/>
              <c:dLblPos val="inEnd"/>
              <c:showLegendKey val="0"/>
              <c:showVal val="1"/>
              <c:showBubbleSize val="0"/>
              <c:showCatName val="0"/>
              <c:showSerName val="1"/>
              <c:showPercent val="0"/>
            </c:dLbl>
            <c:numFmt formatCode="General" sourceLinked="1"/>
            <c:txPr>
              <a:bodyPr vert="horz" rot="0" anchor="ctr"/>
              <a:lstStyle/>
              <a:p>
                <a:pPr algn="ctr">
                  <a:defRPr lang="en-US" cap="none" sz="1200" b="1" i="0" u="none" baseline="0"/>
                </a:pPr>
              </a:p>
            </c:txPr>
            <c:dLblPos val="inEnd"/>
            <c:showLegendKey val="0"/>
            <c:showVal val="1"/>
            <c:showBubbleSize val="0"/>
            <c:showCatName val="0"/>
            <c:showSerName val="1"/>
            <c:showPercent val="0"/>
          </c:dLbls>
          <c:val>
            <c:numRef>
              <c:f>'Why Take AP DATA'!$C$51</c:f>
              <c:numCache>
                <c:ptCount val="1"/>
                <c:pt idx="0">
                  <c:v>0.11969999999999999</c:v>
                </c:pt>
              </c:numCache>
            </c:numRef>
          </c:val>
        </c:ser>
        <c:gapWidth val="200"/>
        <c:axId val="39819968"/>
        <c:axId val="22835393"/>
      </c:barChart>
      <c:catAx>
        <c:axId val="39819968"/>
        <c:scaling>
          <c:orientation val="minMax"/>
        </c:scaling>
        <c:axPos val="b"/>
        <c:delete val="1"/>
        <c:majorTickMark val="out"/>
        <c:minorTickMark val="none"/>
        <c:tickLblPos val="nextTo"/>
        <c:crossAx val="22835393"/>
        <c:crosses val="autoZero"/>
        <c:auto val="1"/>
        <c:lblOffset val="100"/>
        <c:noMultiLvlLbl val="0"/>
      </c:catAx>
      <c:valAx>
        <c:axId val="22835393"/>
        <c:scaling>
          <c:orientation val="minMax"/>
          <c:max val="0.6"/>
          <c:min val="0"/>
        </c:scaling>
        <c:axPos val="l"/>
        <c:majorGridlines>
          <c:spPr>
            <a:ln w="3175">
              <a:solidFill/>
              <a:prstDash val="sysDot"/>
            </a:ln>
          </c:spPr>
        </c:majorGridlines>
        <c:delete val="0"/>
        <c:numFmt formatCode="General" sourceLinked="1"/>
        <c:majorTickMark val="out"/>
        <c:minorTickMark val="none"/>
        <c:tickLblPos val="nextTo"/>
        <c:crossAx val="39819968"/>
        <c:crossesAt val="1"/>
        <c:crossBetween val="between"/>
        <c:dispUnits/>
        <c:majorUnit val="0.1"/>
        <c:minorUnit val="0.05"/>
      </c:valAx>
      <c:spPr>
        <a:noFill/>
        <a:ln w="12700">
          <a:solidFill>
            <a:srgbClr val="808080"/>
          </a:solidFill>
        </a:ln>
      </c:spPr>
    </c:plotArea>
    <c:plotVisOnly val="1"/>
    <c:dispBlanksAs val="gap"/>
    <c:showDLblsOverMax val="0"/>
  </c:chart>
  <c:spPr>
    <a:noFill/>
    <a:ln>
      <a:noFill/>
    </a:ln>
  </c:spPr>
  <c:txPr>
    <a:bodyPr vert="horz" rot="0"/>
    <a:lstStyle/>
    <a:p>
      <a:pPr>
        <a:defRPr lang="en-US" cap="none" sz="9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AP World History Score Distribution</a:t>
            </a:r>
          </a:p>
        </c:rich>
      </c:tx>
      <c:layout/>
      <c:spPr>
        <a:noFill/>
        <a:ln>
          <a:noFill/>
        </a:ln>
      </c:spPr>
    </c:title>
    <c:plotArea>
      <c:layout>
        <c:manualLayout>
          <c:xMode val="edge"/>
          <c:yMode val="edge"/>
          <c:x val="0.058"/>
          <c:y val="0.1255"/>
          <c:w val="0.87625"/>
          <c:h val="0.8585"/>
        </c:manualLayout>
      </c:layout>
      <c:barChart>
        <c:barDir val="col"/>
        <c:grouping val="percentStacked"/>
        <c:varyColors val="0"/>
        <c:ser>
          <c:idx val="0"/>
          <c:order val="0"/>
          <c:tx>
            <c:strRef>
              <c:f>'Score Distrib History DATA'!$A$19</c:f>
              <c:strCache>
                <c:ptCount val="1"/>
                <c:pt idx="0">
                  <c:v>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1
18.4%</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1
20.1%</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200" b="1" i="0" u="none" baseline="0"/>
                      <a:t>1
22.0%</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200" b="1" i="0" u="none" baseline="0"/>
                      <a:t>1
24.0%</a:t>
                    </a:r>
                  </a:p>
                </c:rich>
              </c:tx>
              <c:numFmt formatCode="General" sourceLinked="1"/>
              <c:showLegendKey val="0"/>
              <c:showVal val="1"/>
              <c:showBubbleSize val="0"/>
              <c:showCatName val="0"/>
              <c:showSerName val="1"/>
              <c:showPercent val="0"/>
              <c:separator>
</c:separator>
            </c:dLbl>
            <c:dLbl>
              <c:idx val="4"/>
              <c:tx>
                <c:rich>
                  <a:bodyPr vert="horz" rot="0" anchor="ctr"/>
                  <a:lstStyle/>
                  <a:p>
                    <a:pPr algn="ctr">
                      <a:defRPr/>
                    </a:pPr>
                    <a:r>
                      <a:rPr lang="en-US" cap="none" sz="1200" b="1" i="0" u="none" baseline="0"/>
                      <a:t>1
24.6%</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DATA'!$B$19:$H$19</c:f>
              <c:numCache>
                <c:ptCount val="7"/>
                <c:pt idx="0">
                  <c:v>0.184</c:v>
                </c:pt>
                <c:pt idx="1">
                  <c:v>0.201</c:v>
                </c:pt>
                <c:pt idx="2">
                  <c:v>0.22</c:v>
                </c:pt>
                <c:pt idx="3">
                  <c:v>0.24</c:v>
                </c:pt>
                <c:pt idx="4">
                  <c:v>0.246</c:v>
                </c:pt>
                <c:pt idx="5">
                  <c:v>0.215</c:v>
                </c:pt>
                <c:pt idx="6">
                  <c:v>0.2584925945538279</c:v>
                </c:pt>
              </c:numCache>
            </c:numRef>
          </c:val>
        </c:ser>
        <c:ser>
          <c:idx val="1"/>
          <c:order val="1"/>
          <c:tx>
            <c:strRef>
              <c:f>'Score Distrib History DATA'!$A$18</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2
24.5%</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2
23.7%</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200" b="1" i="0" u="none" baseline="0"/>
                      <a:t>2
23.2%</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200" b="1" i="0" u="none" baseline="0"/>
                      <a:t>2
23.4%</a:t>
                    </a:r>
                  </a:p>
                </c:rich>
              </c:tx>
              <c:numFmt formatCode="General" sourceLinked="1"/>
              <c:showLegendKey val="0"/>
              <c:showVal val="1"/>
              <c:showBubbleSize val="0"/>
              <c:showCatName val="0"/>
              <c:showSerName val="1"/>
              <c:showPercent val="0"/>
              <c:separator>
</c:separator>
            </c:dLbl>
            <c:dLbl>
              <c:idx val="4"/>
              <c:tx>
                <c:rich>
                  <a:bodyPr vert="horz" rot="0" anchor="ctr"/>
                  <a:lstStyle/>
                  <a:p>
                    <a:pPr algn="ctr">
                      <a:defRPr/>
                    </a:pPr>
                    <a:r>
                      <a:rPr lang="en-US" cap="none" sz="1200" b="1" i="0" u="none" baseline="0"/>
                      <a:t>2
24.4%</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DATA'!$B$18:$H$18</c:f>
              <c:numCache>
                <c:ptCount val="7"/>
                <c:pt idx="0">
                  <c:v>0.245</c:v>
                </c:pt>
                <c:pt idx="1">
                  <c:v>0.237</c:v>
                </c:pt>
                <c:pt idx="2">
                  <c:v>0.232</c:v>
                </c:pt>
                <c:pt idx="3">
                  <c:v>0.234</c:v>
                </c:pt>
                <c:pt idx="4">
                  <c:v>0.244</c:v>
                </c:pt>
                <c:pt idx="5">
                  <c:v>0.243</c:v>
                </c:pt>
                <c:pt idx="6">
                  <c:v>0.25703236573115745</c:v>
                </c:pt>
              </c:numCache>
            </c:numRef>
          </c:val>
        </c:ser>
        <c:ser>
          <c:idx val="2"/>
          <c:order val="2"/>
          <c:tx>
            <c:strRef>
              <c:f>'Score Distrib History DATA'!$A$17</c:f>
              <c:strCache>
                <c:ptCount val="1"/>
                <c:pt idx="0">
                  <c:v>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3
28.9%</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3
25.9%</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200" b="1" i="0" u="none" baseline="0"/>
                      <a:t>3
27.8%</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200" b="1" i="0" u="none" baseline="0"/>
                      <a:t>3
25.2%</a:t>
                    </a:r>
                  </a:p>
                </c:rich>
              </c:tx>
              <c:numFmt formatCode="General" sourceLinked="1"/>
              <c:showLegendKey val="0"/>
              <c:showVal val="1"/>
              <c:showBubbleSize val="0"/>
              <c:showCatName val="0"/>
              <c:showSerName val="1"/>
              <c:showPercent val="0"/>
              <c:separator>
</c:separator>
            </c:dLbl>
            <c:dLbl>
              <c:idx val="4"/>
              <c:tx>
                <c:rich>
                  <a:bodyPr vert="horz" rot="0" anchor="ctr"/>
                  <a:lstStyle/>
                  <a:p>
                    <a:pPr algn="ctr">
                      <a:defRPr/>
                    </a:pPr>
                    <a:r>
                      <a:rPr lang="en-US" cap="none" sz="1200" b="1" i="0" u="none" baseline="0"/>
                      <a:t>3
25.4%</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DATA'!$B$17:$H$17</c:f>
              <c:numCache>
                <c:ptCount val="7"/>
                <c:pt idx="0">
                  <c:v>0.289</c:v>
                </c:pt>
                <c:pt idx="1">
                  <c:v>0.259</c:v>
                </c:pt>
                <c:pt idx="2">
                  <c:v>0.278</c:v>
                </c:pt>
                <c:pt idx="3">
                  <c:v>0.252</c:v>
                </c:pt>
                <c:pt idx="4">
                  <c:v>0.254</c:v>
                </c:pt>
                <c:pt idx="5">
                  <c:v>0.261</c:v>
                </c:pt>
                <c:pt idx="6">
                  <c:v>0.2343988189797654</c:v>
                </c:pt>
              </c:numCache>
            </c:numRef>
          </c:val>
        </c:ser>
        <c:ser>
          <c:idx val="3"/>
          <c:order val="3"/>
          <c:tx>
            <c:strRef>
              <c:f>'Score Distrib History DATA'!$A$16</c:f>
              <c:strCache>
                <c:ptCount val="1"/>
                <c:pt idx="0">
                  <c:v>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4
17.6%</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4
18.9%</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200" b="1" i="0" u="none" baseline="0"/>
                      <a:t>4
16.1%</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200" b="1" i="0" u="none" baseline="0"/>
                      <a:t>4
17.1%</a:t>
                    </a:r>
                  </a:p>
                </c:rich>
              </c:tx>
              <c:numFmt formatCode="General" sourceLinked="1"/>
              <c:showLegendKey val="0"/>
              <c:showVal val="1"/>
              <c:showBubbleSize val="0"/>
              <c:showCatName val="0"/>
              <c:showSerName val="1"/>
              <c:showPercent val="0"/>
              <c:separator>
</c:separator>
            </c:dLbl>
            <c:dLbl>
              <c:idx val="4"/>
              <c:tx>
                <c:rich>
                  <a:bodyPr vert="horz" rot="0" anchor="ctr"/>
                  <a:lstStyle/>
                  <a:p>
                    <a:pPr algn="ctr">
                      <a:defRPr/>
                    </a:pPr>
                    <a:r>
                      <a:rPr lang="en-US" cap="none" sz="1200" b="1" i="0" u="none" baseline="0"/>
                      <a:t>4
15.2%</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DATA'!$B$16:$H$16</c:f>
              <c:numCache>
                <c:ptCount val="7"/>
                <c:pt idx="0">
                  <c:v>0.1761</c:v>
                </c:pt>
                <c:pt idx="1">
                  <c:v>0.189</c:v>
                </c:pt>
                <c:pt idx="2">
                  <c:v>0.161</c:v>
                </c:pt>
                <c:pt idx="3">
                  <c:v>0.171</c:v>
                </c:pt>
                <c:pt idx="4">
                  <c:v>0.152</c:v>
                </c:pt>
                <c:pt idx="5">
                  <c:v>0.169</c:v>
                </c:pt>
                <c:pt idx="6">
                  <c:v>0.16124295961103355</c:v>
                </c:pt>
              </c:numCache>
            </c:numRef>
          </c:val>
        </c:ser>
        <c:ser>
          <c:idx val="4"/>
          <c:order val="4"/>
          <c:tx>
            <c:strRef>
              <c:f>'Score Distrib History DATA'!$A$15</c:f>
              <c:strCache>
                <c:ptCount val="1"/>
                <c:pt idx="0">
                  <c:v>5</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5
10.6%</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5
11.4%</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200" b="1" i="0" u="none" baseline="0"/>
                      <a:t>5
10.9%</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200" b="1" i="0" u="none" baseline="0"/>
                      <a:t>5
10.2%</a:t>
                    </a:r>
                  </a:p>
                </c:rich>
              </c:tx>
              <c:numFmt formatCode="General" sourceLinked="1"/>
              <c:showLegendKey val="0"/>
              <c:showVal val="1"/>
              <c:showBubbleSize val="0"/>
              <c:showCatName val="0"/>
              <c:showSerName val="1"/>
              <c:showPercent val="0"/>
              <c:separator>
</c:separator>
            </c:dLbl>
            <c:dLbl>
              <c:idx val="4"/>
              <c:tx>
                <c:rich>
                  <a:bodyPr vert="horz" rot="0" anchor="ctr"/>
                  <a:lstStyle/>
                  <a:p>
                    <a:pPr algn="ctr">
                      <a:defRPr/>
                    </a:pPr>
                    <a:r>
                      <a:rPr lang="en-US" cap="none" sz="1200" b="1" i="0" u="none" baseline="0"/>
                      <a:t>5
10.4%</a:t>
                    </a:r>
                  </a:p>
                </c:rich>
              </c:tx>
              <c:numFmt formatCode="General" sourceLinked="1"/>
              <c:showLegendKey val="0"/>
              <c:showVal val="1"/>
              <c:showBubbleSize val="0"/>
              <c:showCatName val="0"/>
              <c:showSerName val="1"/>
              <c:showPercent val="0"/>
              <c:separator>
</c:separator>
            </c:dLbl>
            <c:dLbl>
              <c:idx val="5"/>
              <c:txPr>
                <a:bodyPr vert="horz" rot="0" anchor="ctr"/>
                <a:lstStyle/>
                <a:p>
                  <a:pPr algn="ctr">
                    <a:defRPr lang="en-US" cap="none" sz="1200" b="1" i="0" u="none" baseline="0"/>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DATA'!$B$15:$H$15</c:f>
              <c:numCache>
                <c:ptCount val="7"/>
                <c:pt idx="0">
                  <c:v>0.106</c:v>
                </c:pt>
                <c:pt idx="1">
                  <c:v>0.114</c:v>
                </c:pt>
                <c:pt idx="2">
                  <c:v>0.109</c:v>
                </c:pt>
                <c:pt idx="3">
                  <c:v>0.102</c:v>
                </c:pt>
                <c:pt idx="4">
                  <c:v>0.104</c:v>
                </c:pt>
                <c:pt idx="5">
                  <c:v>0.112</c:v>
                </c:pt>
                <c:pt idx="6">
                  <c:v>0.08883326112421573</c:v>
                </c:pt>
              </c:numCache>
            </c:numRef>
          </c:val>
        </c:ser>
        <c:overlap val="100"/>
        <c:gapWidth val="80"/>
        <c:axId val="32509850"/>
        <c:axId val="24153195"/>
      </c:barChart>
      <c:catAx>
        <c:axId val="32509850"/>
        <c:scaling>
          <c:orientation val="minMax"/>
        </c:scaling>
        <c:axPos val="b"/>
        <c:delete val="0"/>
        <c:numFmt formatCode="General" sourceLinked="1"/>
        <c:majorTickMark val="out"/>
        <c:minorTickMark val="none"/>
        <c:tickLblPos val="nextTo"/>
        <c:txPr>
          <a:bodyPr/>
          <a:lstStyle/>
          <a:p>
            <a:pPr>
              <a:defRPr lang="en-US" cap="none" sz="1600" b="1" i="0" u="none" baseline="0"/>
            </a:pPr>
          </a:p>
        </c:txPr>
        <c:crossAx val="24153195"/>
        <c:crosses val="autoZero"/>
        <c:auto val="1"/>
        <c:lblOffset val="100"/>
        <c:noMultiLvlLbl val="0"/>
      </c:catAx>
      <c:valAx>
        <c:axId val="24153195"/>
        <c:scaling>
          <c:orientation val="minMax"/>
        </c:scaling>
        <c:axPos val="l"/>
        <c:majorGridlines>
          <c:spPr>
            <a:ln w="3175">
              <a:solidFill/>
              <a:prstDash val="sysDot"/>
            </a:ln>
          </c:spPr>
        </c:majorGridlines>
        <c:delete val="0"/>
        <c:numFmt formatCode="General" sourceLinked="1"/>
        <c:majorTickMark val="out"/>
        <c:minorTickMark val="none"/>
        <c:tickLblPos val="nextTo"/>
        <c:crossAx val="3250985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AP World History Score Distribution</a:t>
            </a:r>
          </a:p>
        </c:rich>
      </c:tx>
      <c:layout/>
      <c:spPr>
        <a:noFill/>
        <a:ln>
          <a:noFill/>
        </a:ln>
      </c:spPr>
    </c:title>
    <c:plotArea>
      <c:layout/>
      <c:barChart>
        <c:barDir val="col"/>
        <c:grouping val="stacked"/>
        <c:varyColors val="0"/>
        <c:ser>
          <c:idx val="0"/>
          <c:order val="0"/>
          <c:tx>
            <c:strRef>
              <c:f>'Score Distrib History DATA'!$A$12</c:f>
              <c:strCache>
                <c:ptCount val="1"/>
                <c:pt idx="0">
                  <c:v>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1" i="0" u="none" baseline="0"/>
                      <a:t>1 - 3,856</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1 - 6,891</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DATA'!$B$12:$H$12</c:f>
              <c:numCache>
                <c:ptCount val="7"/>
                <c:pt idx="0">
                  <c:v>3856</c:v>
                </c:pt>
                <c:pt idx="1">
                  <c:v>6891</c:v>
                </c:pt>
                <c:pt idx="2">
                  <c:v>10444</c:v>
                </c:pt>
                <c:pt idx="3">
                  <c:v>15440</c:v>
                </c:pt>
                <c:pt idx="4">
                  <c:v>20721</c:v>
                </c:pt>
                <c:pt idx="5">
                  <c:v>21942</c:v>
                </c:pt>
                <c:pt idx="6">
                  <c:v>32218</c:v>
                </c:pt>
              </c:numCache>
            </c:numRef>
          </c:val>
        </c:ser>
        <c:ser>
          <c:idx val="1"/>
          <c:order val="1"/>
          <c:tx>
            <c:strRef>
              <c:f>'Score Distrib History DATA'!$A$11</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1" i="0" u="none" baseline="0"/>
                      <a:t>2 - 5,134</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2 - 8,126</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DATA'!$B$11:$H$11</c:f>
              <c:numCache>
                <c:ptCount val="7"/>
                <c:pt idx="0">
                  <c:v>5134</c:v>
                </c:pt>
                <c:pt idx="1">
                  <c:v>8126</c:v>
                </c:pt>
                <c:pt idx="2">
                  <c:v>11021</c:v>
                </c:pt>
                <c:pt idx="3">
                  <c:v>15021</c:v>
                </c:pt>
                <c:pt idx="4">
                  <c:v>20532</c:v>
                </c:pt>
                <c:pt idx="5">
                  <c:v>24773</c:v>
                </c:pt>
                <c:pt idx="6">
                  <c:v>32036</c:v>
                </c:pt>
              </c:numCache>
            </c:numRef>
          </c:val>
        </c:ser>
        <c:ser>
          <c:idx val="2"/>
          <c:order val="2"/>
          <c:tx>
            <c:strRef>
              <c:f>'Score Distrib History DATA'!$A$10</c:f>
              <c:strCache>
                <c:ptCount val="1"/>
                <c:pt idx="0">
                  <c:v>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1" i="0" u="none" baseline="0"/>
                      <a:t>3 - 6,056</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3 - 8,880</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DATA'!$B$10:$H$10</c:f>
              <c:numCache>
                <c:ptCount val="7"/>
                <c:pt idx="0">
                  <c:v>6056</c:v>
                </c:pt>
                <c:pt idx="1">
                  <c:v>8880</c:v>
                </c:pt>
                <c:pt idx="2">
                  <c:v>13231</c:v>
                </c:pt>
                <c:pt idx="3">
                  <c:v>16212</c:v>
                </c:pt>
                <c:pt idx="4">
                  <c:v>21354</c:v>
                </c:pt>
                <c:pt idx="5">
                  <c:v>26616</c:v>
                </c:pt>
                <c:pt idx="6">
                  <c:v>29215</c:v>
                </c:pt>
              </c:numCache>
            </c:numRef>
          </c:val>
        </c:ser>
        <c:ser>
          <c:idx val="3"/>
          <c:order val="3"/>
          <c:tx>
            <c:strRef>
              <c:f>'Score Distrib History DATA'!$A$9</c:f>
              <c:strCache>
                <c:ptCount val="1"/>
                <c:pt idx="0">
                  <c:v>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1" i="0" u="none" baseline="0"/>
                      <a:t>4 - 3,690</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4 - 6,480</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200" b="1" i="0" u="none" baseline="0"/>
                      <a:t>4 - 7,663</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DATA'!$B$9:$H$9</c:f>
              <c:numCache>
                <c:ptCount val="7"/>
                <c:pt idx="0">
                  <c:v>3690</c:v>
                </c:pt>
                <c:pt idx="1">
                  <c:v>6480</c:v>
                </c:pt>
                <c:pt idx="2">
                  <c:v>7663</c:v>
                </c:pt>
                <c:pt idx="3">
                  <c:v>10957</c:v>
                </c:pt>
                <c:pt idx="4">
                  <c:v>12808</c:v>
                </c:pt>
                <c:pt idx="5">
                  <c:v>17183</c:v>
                </c:pt>
                <c:pt idx="6">
                  <c:v>20097</c:v>
                </c:pt>
              </c:numCache>
            </c:numRef>
          </c:val>
        </c:ser>
        <c:ser>
          <c:idx val="4"/>
          <c:order val="4"/>
          <c:tx>
            <c:strRef>
              <c:f>'Score Distrib History DATA'!$A$8</c:f>
              <c:strCache>
                <c:ptCount val="1"/>
                <c:pt idx="0">
                  <c:v>5</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1" i="0" u="none" baseline="0"/>
                      <a:t>5 - 2,221</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5 - 3,909</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200" b="1" i="0" u="none" baseline="0"/>
                      <a:t>5 - 5,199</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200" b="1" i="0" u="none" baseline="0"/>
                      <a:t>5-6,577</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DATA'!$B$8:$H$8</c:f>
              <c:numCache>
                <c:ptCount val="7"/>
                <c:pt idx="0">
                  <c:v>2221</c:v>
                </c:pt>
                <c:pt idx="1">
                  <c:v>3909</c:v>
                </c:pt>
                <c:pt idx="2">
                  <c:v>5199</c:v>
                </c:pt>
                <c:pt idx="3">
                  <c:v>6577</c:v>
                </c:pt>
                <c:pt idx="4">
                  <c:v>8728</c:v>
                </c:pt>
                <c:pt idx="5">
                  <c:v>11461</c:v>
                </c:pt>
                <c:pt idx="6">
                  <c:v>11072</c:v>
                </c:pt>
              </c:numCache>
            </c:numRef>
          </c:val>
        </c:ser>
        <c:overlap val="97"/>
        <c:gapWidth val="70"/>
        <c:axId val="16052164"/>
        <c:axId val="10251749"/>
      </c:barChart>
      <c:catAx>
        <c:axId val="16052164"/>
        <c:scaling>
          <c:orientation val="minMax"/>
        </c:scaling>
        <c:axPos val="b"/>
        <c:delete val="0"/>
        <c:numFmt formatCode="General" sourceLinked="1"/>
        <c:majorTickMark val="out"/>
        <c:minorTickMark val="none"/>
        <c:tickLblPos val="nextTo"/>
        <c:txPr>
          <a:bodyPr/>
          <a:lstStyle/>
          <a:p>
            <a:pPr>
              <a:defRPr lang="en-US" cap="none" sz="1600" b="1" i="0" u="none" baseline="0"/>
            </a:pPr>
          </a:p>
        </c:txPr>
        <c:crossAx val="10251749"/>
        <c:crossesAt val="0"/>
        <c:auto val="1"/>
        <c:lblOffset val="100"/>
        <c:noMultiLvlLbl val="0"/>
      </c:catAx>
      <c:valAx>
        <c:axId val="10251749"/>
        <c:scaling>
          <c:orientation val="minMax"/>
          <c:max val="125000"/>
          <c:min val="0"/>
        </c:scaling>
        <c:axPos val="l"/>
        <c:majorGridlines>
          <c:spPr>
            <a:ln w="3175">
              <a:solidFill/>
              <a:prstDash val="sysDot"/>
            </a:ln>
          </c:spPr>
        </c:majorGridlines>
        <c:delete val="0"/>
        <c:numFmt formatCode="General" sourceLinked="1"/>
        <c:majorTickMark val="out"/>
        <c:minorTickMark val="none"/>
        <c:tickLblPos val="nextTo"/>
        <c:crossAx val="16052164"/>
        <c:crossesAt val="1"/>
        <c:crossBetween val="between"/>
        <c:dispUnits/>
        <c:majorUnit val="25000"/>
        <c:minorUnit val="5000"/>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AP World History National Mean Grade</a:t>
            </a:r>
          </a:p>
        </c:rich>
      </c:tx>
      <c:layout/>
      <c:spPr>
        <a:noFill/>
        <a:ln>
          <a:noFill/>
        </a:ln>
      </c:spPr>
    </c:title>
    <c:plotArea>
      <c:layout>
        <c:manualLayout>
          <c:xMode val="edge"/>
          <c:yMode val="edge"/>
          <c:x val="0.1035"/>
          <c:y val="0.12725"/>
          <c:w val="0.7945"/>
          <c:h val="0.85875"/>
        </c:manualLayout>
      </c:layout>
      <c:barChart>
        <c:barDir val="col"/>
        <c:grouping val="clustered"/>
        <c:varyColors val="0"/>
        <c:ser>
          <c:idx val="1"/>
          <c:order val="0"/>
          <c:tx>
            <c:strRef>
              <c:f>'Score Distrib History DATA'!$A$21</c:f>
              <c:strCache>
                <c:ptCount val="1"/>
                <c:pt idx="0">
                  <c:v>Number of Students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pPr>
              </a:p>
            </c:txPr>
            <c:dLblPos val="inEnd"/>
            <c:showLegendKey val="0"/>
            <c:showVal val="1"/>
            <c:showBubbleSize val="0"/>
            <c:showCatName val="0"/>
            <c:showSerName val="0"/>
            <c:showPercent val="0"/>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DATA'!$B$21:$H$21</c:f>
              <c:numCache>
                <c:ptCount val="7"/>
                <c:pt idx="0">
                  <c:v>20955</c:v>
                </c:pt>
                <c:pt idx="1">
                  <c:v>34286</c:v>
                </c:pt>
                <c:pt idx="2">
                  <c:v>47558</c:v>
                </c:pt>
                <c:pt idx="3">
                  <c:v>64207</c:v>
                </c:pt>
                <c:pt idx="4">
                  <c:v>84143</c:v>
                </c:pt>
                <c:pt idx="5">
                  <c:v>101975</c:v>
                </c:pt>
                <c:pt idx="6">
                  <c:v>124638</c:v>
                </c:pt>
              </c:numCache>
            </c:numRef>
          </c:val>
        </c:ser>
        <c:gapWidth val="60"/>
        <c:axId val="25156878"/>
        <c:axId val="25085311"/>
      </c:barChart>
      <c:lineChart>
        <c:grouping val="standard"/>
        <c:varyColors val="0"/>
        <c:ser>
          <c:idx val="0"/>
          <c:order val="1"/>
          <c:tx>
            <c:strRef>
              <c:f>'Score Distrib History DATA'!$A$24</c:f>
              <c:strCache>
                <c:ptCount val="1"/>
                <c:pt idx="0">
                  <c:v>Mean Grade </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dLbl>
              <c:idx val="0"/>
              <c:txPr>
                <a:bodyPr vert="horz" rot="0" anchor="ctr"/>
                <a:lstStyle/>
                <a:p>
                  <a:pPr algn="ctr">
                    <a:defRPr lang="en-US" cap="none" sz="1200" b="1" i="0" u="none" baseline="0"/>
                  </a:pPr>
                </a:p>
              </c:txPr>
              <c:numFmt formatCode="General" sourceLinked="1"/>
              <c:dLblPos val="b"/>
              <c:showLegendKey val="0"/>
              <c:showVal val="1"/>
              <c:showBubbleSize val="0"/>
              <c:showCatName val="0"/>
              <c:showSerName val="0"/>
              <c:showPercent val="0"/>
            </c:dLbl>
            <c:dLbl>
              <c:idx val="1"/>
              <c:txPr>
                <a:bodyPr vert="horz" rot="0" anchor="ctr"/>
                <a:lstStyle/>
                <a:p>
                  <a:pPr algn="ctr">
                    <a:defRPr lang="en-US" cap="none" sz="1200" b="1"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200" b="1"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dLblPos val="b"/>
            <c:showLegendKey val="0"/>
            <c:showVal val="1"/>
            <c:showBubbleSize val="0"/>
            <c:showCatName val="0"/>
            <c:showSerName val="0"/>
            <c:showLeaderLines val="1"/>
            <c:showPercent val="0"/>
          </c:dLbls>
          <c:val>
            <c:numRef>
              <c:f>'Score Distrib History DATA'!$B$24:$H$24</c:f>
              <c:numCache>
                <c:ptCount val="7"/>
                <c:pt idx="0">
                  <c:v>2.94</c:v>
                </c:pt>
                <c:pt idx="1">
                  <c:v>2.78</c:v>
                </c:pt>
                <c:pt idx="2">
                  <c:v>2.71</c:v>
                </c:pt>
                <c:pt idx="3">
                  <c:v>2.66</c:v>
                </c:pt>
                <c:pt idx="4">
                  <c:v>2.62</c:v>
                </c:pt>
                <c:pt idx="5">
                  <c:v>2.71</c:v>
                </c:pt>
                <c:pt idx="6">
                  <c:v>2.5648919270206516</c:v>
                </c:pt>
              </c:numCache>
            </c:numRef>
          </c:val>
          <c:smooth val="0"/>
        </c:ser>
        <c:axId val="24441208"/>
        <c:axId val="18644281"/>
      </c:lineChart>
      <c:catAx>
        <c:axId val="25156878"/>
        <c:scaling>
          <c:orientation val="minMax"/>
        </c:scaling>
        <c:axPos val="b"/>
        <c:delete val="0"/>
        <c:numFmt formatCode="General" sourceLinked="1"/>
        <c:majorTickMark val="in"/>
        <c:minorTickMark val="none"/>
        <c:tickLblPos val="nextTo"/>
        <c:txPr>
          <a:bodyPr/>
          <a:lstStyle/>
          <a:p>
            <a:pPr>
              <a:defRPr lang="en-US" cap="none" sz="1400" b="1" i="0" u="none" baseline="0"/>
            </a:pPr>
          </a:p>
        </c:txPr>
        <c:crossAx val="25085311"/>
        <c:crosses val="autoZero"/>
        <c:auto val="0"/>
        <c:lblOffset val="100"/>
        <c:tickLblSkip val="1"/>
        <c:noMultiLvlLbl val="0"/>
      </c:catAx>
      <c:valAx>
        <c:axId val="25085311"/>
        <c:scaling>
          <c:orientation val="minMax"/>
          <c:max val="130000"/>
          <c:min val="0"/>
        </c:scaling>
        <c:axPos val="l"/>
        <c:title>
          <c:tx>
            <c:rich>
              <a:bodyPr vert="horz" rot="-5400000" anchor="ctr"/>
              <a:lstStyle/>
              <a:p>
                <a:pPr algn="ctr">
                  <a:defRPr/>
                </a:pPr>
                <a:r>
                  <a:rPr lang="en-US" cap="none" sz="1400" b="1" i="0" u="none" baseline="0"/>
                  <a:t># of Students</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5156878"/>
        <c:crossesAt val="1"/>
        <c:crossBetween val="between"/>
        <c:dispUnits/>
        <c:majorUnit val="25000"/>
        <c:minorUnit val="2000"/>
      </c:valAx>
      <c:catAx>
        <c:axId val="24441208"/>
        <c:scaling>
          <c:orientation val="minMax"/>
        </c:scaling>
        <c:axPos val="b"/>
        <c:delete val="1"/>
        <c:majorTickMark val="in"/>
        <c:minorTickMark val="none"/>
        <c:tickLblPos val="nextTo"/>
        <c:crossAx val="18644281"/>
        <c:crossesAt val="0"/>
        <c:auto val="0"/>
        <c:lblOffset val="100"/>
        <c:tickLblSkip val="1"/>
        <c:noMultiLvlLbl val="0"/>
      </c:catAx>
      <c:valAx>
        <c:axId val="18644281"/>
        <c:scaling>
          <c:orientation val="minMax"/>
          <c:max val="3.72"/>
          <c:min val="0"/>
        </c:scaling>
        <c:axPos val="l"/>
        <c:title>
          <c:tx>
            <c:rich>
              <a:bodyPr vert="horz" rot="-5400000" anchor="ctr"/>
              <a:lstStyle/>
              <a:p>
                <a:pPr algn="ctr">
                  <a:defRPr/>
                </a:pPr>
                <a:r>
                  <a:rPr lang="en-US" cap="none" sz="1400" b="1" i="0" u="none" baseline="0"/>
                  <a:t>Mean Grade</a:t>
                </a:r>
              </a:p>
            </c:rich>
          </c:tx>
          <c:layout/>
          <c:overlay val="0"/>
          <c:spPr>
            <a:noFill/>
            <a:ln>
              <a:noFill/>
            </a:ln>
          </c:spPr>
        </c:title>
        <c:delete val="0"/>
        <c:numFmt formatCode="General" sourceLinked="1"/>
        <c:majorTickMark val="in"/>
        <c:minorTickMark val="none"/>
        <c:tickLblPos val="nextTo"/>
        <c:crossAx val="24441208"/>
        <c:crosses val="max"/>
        <c:crossBetween val="between"/>
        <c:dispUnits/>
        <c:majorUnit val="0.5"/>
        <c:minorUnit val="0.05"/>
      </c:valAx>
      <c:spPr>
        <a:noFill/>
        <a:ln>
          <a:no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Geneva"/>
                <a:ea typeface="Geneva"/>
                <a:cs typeface="Geneva"/>
              </a:rPr>
              <a:t>2002 AP World History Score Distribution by Grade Level</a:t>
            </a:r>
          </a:p>
        </c:rich>
      </c:tx>
      <c:layout>
        <c:manualLayout>
          <c:xMode val="factor"/>
          <c:yMode val="factor"/>
          <c:x val="0"/>
          <c:y val="0.0335"/>
        </c:manualLayout>
      </c:layout>
      <c:spPr>
        <a:noFill/>
        <a:ln>
          <a:noFill/>
        </a:ln>
      </c:spPr>
    </c:title>
    <c:plotArea>
      <c:layout>
        <c:manualLayout>
          <c:xMode val="edge"/>
          <c:yMode val="edge"/>
          <c:x val="0.013"/>
          <c:y val="0.132"/>
          <c:w val="0.9175"/>
          <c:h val="0.81075"/>
        </c:manualLayout>
      </c:layout>
      <c:barChart>
        <c:barDir val="col"/>
        <c:grouping val="percentStacked"/>
        <c:varyColors val="0"/>
        <c:ser>
          <c:idx val="0"/>
          <c:order val="0"/>
          <c:tx>
            <c:strRef>
              <c:f>'Scores by Grade Level DATA'!$A$9</c:f>
              <c:strCache>
                <c:ptCount val="1"/>
                <c:pt idx="0">
                  <c:v>1</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1
39%</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1
20%</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1
11%</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1
10%</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1
18.4%</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DATA'!$B$8:$F$8</c:f>
              <c:strCache>
                <c:ptCount val="5"/>
                <c:pt idx="0">
                  <c:v>Freshmen 3%</c:v>
                </c:pt>
                <c:pt idx="1">
                  <c:v>Soph 69%</c:v>
                </c:pt>
                <c:pt idx="2">
                  <c:v>Juniors 15%</c:v>
                </c:pt>
                <c:pt idx="3">
                  <c:v>Seniors 9%</c:v>
                </c:pt>
                <c:pt idx="4">
                  <c:v>Overall</c:v>
                </c:pt>
              </c:strCache>
            </c:strRef>
          </c:cat>
          <c:val>
            <c:numRef>
              <c:f>'Scores by Grade Level DATA'!$B$9:$F$9</c:f>
              <c:numCache>
                <c:ptCount val="5"/>
                <c:pt idx="0">
                  <c:v>0.393</c:v>
                </c:pt>
                <c:pt idx="1">
                  <c:v>0.2</c:v>
                </c:pt>
                <c:pt idx="2">
                  <c:v>0.112</c:v>
                </c:pt>
                <c:pt idx="3">
                  <c:v>0.101</c:v>
                </c:pt>
                <c:pt idx="4">
                  <c:v>0.184</c:v>
                </c:pt>
              </c:numCache>
            </c:numRef>
          </c:val>
        </c:ser>
        <c:ser>
          <c:idx val="1"/>
          <c:order val="1"/>
          <c:tx>
            <c:strRef>
              <c:f>'Scores by Grade Level DATA'!$A$10</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2
28%</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2
27%</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2
18%</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2
16%</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2
24.5%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DATA'!$B$8:$F$8</c:f>
              <c:strCache>
                <c:ptCount val="5"/>
                <c:pt idx="0">
                  <c:v>Freshmen 3%</c:v>
                </c:pt>
                <c:pt idx="1">
                  <c:v>Soph 69%</c:v>
                </c:pt>
                <c:pt idx="2">
                  <c:v>Juniors 15%</c:v>
                </c:pt>
                <c:pt idx="3">
                  <c:v>Seniors 9%</c:v>
                </c:pt>
                <c:pt idx="4">
                  <c:v>Overall</c:v>
                </c:pt>
              </c:strCache>
            </c:strRef>
          </c:cat>
          <c:val>
            <c:numRef>
              <c:f>'Scores by Grade Level DATA'!$B$10:$F$10</c:f>
              <c:numCache>
                <c:ptCount val="5"/>
                <c:pt idx="0">
                  <c:v>0.281</c:v>
                </c:pt>
                <c:pt idx="1">
                  <c:v>0.269</c:v>
                </c:pt>
                <c:pt idx="2">
                  <c:v>0.18</c:v>
                </c:pt>
                <c:pt idx="3">
                  <c:v>0.164</c:v>
                </c:pt>
                <c:pt idx="4">
                  <c:v>0.245</c:v>
                </c:pt>
              </c:numCache>
            </c:numRef>
          </c:val>
        </c:ser>
        <c:ser>
          <c:idx val="2"/>
          <c:order val="2"/>
          <c:tx>
            <c:strRef>
              <c:f>'Scores by Grade Level DATA'!$A$11</c:f>
              <c:strCache>
                <c:ptCount val="1"/>
                <c:pt idx="0">
                  <c:v>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3
19%</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3
29%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3
30%</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3
29%</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3
28.9%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DATA'!$B$8:$F$8</c:f>
              <c:strCache>
                <c:ptCount val="5"/>
                <c:pt idx="0">
                  <c:v>Freshmen 3%</c:v>
                </c:pt>
                <c:pt idx="1">
                  <c:v>Soph 69%</c:v>
                </c:pt>
                <c:pt idx="2">
                  <c:v>Juniors 15%</c:v>
                </c:pt>
                <c:pt idx="3">
                  <c:v>Seniors 9%</c:v>
                </c:pt>
                <c:pt idx="4">
                  <c:v>Overall</c:v>
                </c:pt>
              </c:strCache>
            </c:strRef>
          </c:cat>
          <c:val>
            <c:numRef>
              <c:f>'Scores by Grade Level DATA'!$B$11:$F$11</c:f>
              <c:numCache>
                <c:ptCount val="5"/>
                <c:pt idx="0">
                  <c:v>0.186</c:v>
                </c:pt>
                <c:pt idx="1">
                  <c:v>0.292</c:v>
                </c:pt>
                <c:pt idx="2">
                  <c:v>0.301</c:v>
                </c:pt>
                <c:pt idx="3">
                  <c:v>0.298</c:v>
                </c:pt>
                <c:pt idx="4">
                  <c:v>0.289</c:v>
                </c:pt>
              </c:numCache>
            </c:numRef>
          </c:val>
        </c:ser>
        <c:ser>
          <c:idx val="3"/>
          <c:order val="3"/>
          <c:tx>
            <c:strRef>
              <c:f>'Scores by Grade Level DATA'!$A$12</c:f>
              <c:strCache>
                <c:ptCount val="1"/>
                <c:pt idx="0">
                  <c:v>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4
10%</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4
16%</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4
23%</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4
25%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4
17.6%</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DATA'!$B$8:$F$8</c:f>
              <c:strCache>
                <c:ptCount val="5"/>
                <c:pt idx="0">
                  <c:v>Freshmen 3%</c:v>
                </c:pt>
                <c:pt idx="1">
                  <c:v>Soph 69%</c:v>
                </c:pt>
                <c:pt idx="2">
                  <c:v>Juniors 15%</c:v>
                </c:pt>
                <c:pt idx="3">
                  <c:v>Seniors 9%</c:v>
                </c:pt>
                <c:pt idx="4">
                  <c:v>Overall</c:v>
                </c:pt>
              </c:strCache>
            </c:strRef>
          </c:cat>
          <c:val>
            <c:numRef>
              <c:f>'Scores by Grade Level DATA'!$B$12:$F$12</c:f>
              <c:numCache>
                <c:ptCount val="5"/>
                <c:pt idx="0">
                  <c:v>0.099</c:v>
                </c:pt>
                <c:pt idx="1">
                  <c:v>0.16</c:v>
                </c:pt>
                <c:pt idx="2">
                  <c:v>0.228</c:v>
                </c:pt>
                <c:pt idx="3">
                  <c:v>0.247</c:v>
                </c:pt>
                <c:pt idx="4">
                  <c:v>0.176</c:v>
                </c:pt>
              </c:numCache>
            </c:numRef>
          </c:val>
        </c:ser>
        <c:ser>
          <c:idx val="4"/>
          <c:order val="4"/>
          <c:tx>
            <c:strRef>
              <c:f>'Scores by Grade Level DATA'!$A$13</c:f>
              <c:strCache>
                <c:ptCount val="1"/>
                <c:pt idx="0">
                  <c:v>5</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5 - 4%</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5
8%</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5
18%</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5
20%</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5
10.6%</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DATA'!$B$8:$F$8</c:f>
              <c:strCache>
                <c:ptCount val="5"/>
                <c:pt idx="0">
                  <c:v>Freshmen 3%</c:v>
                </c:pt>
                <c:pt idx="1">
                  <c:v>Soph 69%</c:v>
                </c:pt>
                <c:pt idx="2">
                  <c:v>Juniors 15%</c:v>
                </c:pt>
                <c:pt idx="3">
                  <c:v>Seniors 9%</c:v>
                </c:pt>
                <c:pt idx="4">
                  <c:v>Overall</c:v>
                </c:pt>
              </c:strCache>
            </c:strRef>
          </c:cat>
          <c:val>
            <c:numRef>
              <c:f>'Scores by Grade Level DATA'!$B$13:$F$13</c:f>
              <c:numCache>
                <c:ptCount val="5"/>
                <c:pt idx="0">
                  <c:v>0.041</c:v>
                </c:pt>
                <c:pt idx="1">
                  <c:v>0.079</c:v>
                </c:pt>
                <c:pt idx="2">
                  <c:v>0.178</c:v>
                </c:pt>
                <c:pt idx="3">
                  <c:v>0.198</c:v>
                </c:pt>
                <c:pt idx="4">
                  <c:v>0.106</c:v>
                </c:pt>
              </c:numCache>
            </c:numRef>
          </c:val>
        </c:ser>
        <c:overlap val="98"/>
        <c:gapWidth val="80"/>
        <c:axId val="33580802"/>
        <c:axId val="33791763"/>
      </c:barChart>
      <c:catAx>
        <c:axId val="33580802"/>
        <c:scaling>
          <c:orientation val="minMax"/>
        </c:scaling>
        <c:axPos val="b"/>
        <c:title>
          <c:tx>
            <c:rich>
              <a:bodyPr vert="horz" rot="0" anchor="ctr"/>
              <a:lstStyle/>
              <a:p>
                <a:pPr algn="ctr">
                  <a:defRPr/>
                </a:pPr>
                <a:r>
                  <a:rPr lang="en-US" cap="none" sz="1400" b="1" i="0" u="none" baseline="0">
                    <a:latin typeface="Geneva"/>
                    <a:ea typeface="Geneva"/>
                    <a:cs typeface="Geneva"/>
                  </a:rPr>
                  <a:t>Age of Students &amp; % of Test Takers</a:t>
                </a:r>
              </a:p>
            </c:rich>
          </c:tx>
          <c:layout/>
          <c:overlay val="0"/>
          <c:spPr>
            <a:noFill/>
            <a:ln>
              <a:noFill/>
            </a:ln>
          </c:spPr>
        </c:title>
        <c:delete val="0"/>
        <c:numFmt formatCode="General" sourceLinked="1"/>
        <c:majorTickMark val="out"/>
        <c:minorTickMark val="none"/>
        <c:tickLblPos val="nextTo"/>
        <c:txPr>
          <a:bodyPr/>
          <a:lstStyle/>
          <a:p>
            <a:pPr>
              <a:defRPr lang="en-US" cap="none" sz="1400" b="1" i="0" u="none" baseline="0">
                <a:latin typeface="Geneva"/>
                <a:ea typeface="Geneva"/>
                <a:cs typeface="Geneva"/>
              </a:defRPr>
            </a:pPr>
          </a:p>
        </c:txPr>
        <c:crossAx val="33791763"/>
        <c:crosses val="autoZero"/>
        <c:auto val="1"/>
        <c:lblOffset val="100"/>
        <c:noMultiLvlLbl val="0"/>
      </c:catAx>
      <c:valAx>
        <c:axId val="33791763"/>
        <c:scaling>
          <c:orientation val="minMax"/>
        </c:scaling>
        <c:axPos val="l"/>
        <c:majorGridlines>
          <c:spPr>
            <a:ln w="3175">
              <a:solidFill/>
              <a:prstDash val="sysDot"/>
            </a:ln>
          </c:spPr>
        </c:majorGridlines>
        <c:delete val="0"/>
        <c:numFmt formatCode="General" sourceLinked="1"/>
        <c:majorTickMark val="out"/>
        <c:minorTickMark val="none"/>
        <c:tickLblPos val="nextTo"/>
        <c:crossAx val="3358080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latin typeface="Geneva"/>
          <a:ea typeface="Geneva"/>
          <a:cs typeface="Genev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Geneva"/>
                <a:ea typeface="Geneva"/>
                <a:cs typeface="Geneva"/>
              </a:rPr>
              <a:t>2003 AP World History Score Distribution by Grade Level</a:t>
            </a:r>
          </a:p>
        </c:rich>
      </c:tx>
      <c:layout>
        <c:manualLayout>
          <c:xMode val="factor"/>
          <c:yMode val="factor"/>
          <c:x val="0"/>
          <c:y val="0.0335"/>
        </c:manualLayout>
      </c:layout>
      <c:spPr>
        <a:noFill/>
        <a:ln>
          <a:noFill/>
        </a:ln>
      </c:spPr>
    </c:title>
    <c:plotArea>
      <c:layout>
        <c:manualLayout>
          <c:xMode val="edge"/>
          <c:yMode val="edge"/>
          <c:x val="0.013"/>
          <c:y val="0.132"/>
          <c:w val="0.9175"/>
          <c:h val="0.81075"/>
        </c:manualLayout>
      </c:layout>
      <c:barChart>
        <c:barDir val="col"/>
        <c:grouping val="percentStacked"/>
        <c:varyColors val="0"/>
        <c:ser>
          <c:idx val="0"/>
          <c:order val="0"/>
          <c:tx>
            <c:strRef>
              <c:f>'Scores by Grade Level DATA'!$A$17</c:f>
              <c:strCache>
                <c:ptCount val="1"/>
                <c:pt idx="0">
                  <c:v>1</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1
37%</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1
21%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1
16%</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1
12%</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1
20.1%</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DATA'!$B$16:$F$16</c:f>
              <c:strCache>
                <c:ptCount val="5"/>
                <c:pt idx="0">
                  <c:v>Freshmen 4%</c:v>
                </c:pt>
                <c:pt idx="1">
                  <c:v>Soph 74%</c:v>
                </c:pt>
                <c:pt idx="2">
                  <c:v>Juniors 12%</c:v>
                </c:pt>
                <c:pt idx="3">
                  <c:v>Seniors 8%</c:v>
                </c:pt>
                <c:pt idx="4">
                  <c:v>Overall</c:v>
                </c:pt>
              </c:strCache>
            </c:strRef>
          </c:cat>
          <c:val>
            <c:numRef>
              <c:f>'Scores by Grade Level DATA'!$B$17:$F$17</c:f>
              <c:numCache>
                <c:ptCount val="5"/>
                <c:pt idx="0">
                  <c:v>0.372</c:v>
                </c:pt>
                <c:pt idx="1">
                  <c:v>0.209</c:v>
                </c:pt>
                <c:pt idx="2">
                  <c:v>0.156</c:v>
                </c:pt>
                <c:pt idx="3">
                  <c:v>0.119</c:v>
                </c:pt>
                <c:pt idx="4">
                  <c:v>0.201</c:v>
                </c:pt>
              </c:numCache>
            </c:numRef>
          </c:val>
        </c:ser>
        <c:ser>
          <c:idx val="1"/>
          <c:order val="1"/>
          <c:tx>
            <c:strRef>
              <c:f>'Scores by Grade Level DATA'!$A$18</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2
25%</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2
25%</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2
19%</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2
17%</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2
23.7%</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DATA'!$B$16:$F$16</c:f>
              <c:strCache>
                <c:ptCount val="5"/>
                <c:pt idx="0">
                  <c:v>Freshmen 4%</c:v>
                </c:pt>
                <c:pt idx="1">
                  <c:v>Soph 74%</c:v>
                </c:pt>
                <c:pt idx="2">
                  <c:v>Juniors 12%</c:v>
                </c:pt>
                <c:pt idx="3">
                  <c:v>Seniors 8%</c:v>
                </c:pt>
                <c:pt idx="4">
                  <c:v>Overall</c:v>
                </c:pt>
              </c:strCache>
            </c:strRef>
          </c:cat>
          <c:val>
            <c:numRef>
              <c:f>'Scores by Grade Level DATA'!$B$18:$F$18</c:f>
              <c:numCache>
                <c:ptCount val="5"/>
                <c:pt idx="0">
                  <c:v>0.251</c:v>
                </c:pt>
                <c:pt idx="1">
                  <c:v>0.251</c:v>
                </c:pt>
                <c:pt idx="2">
                  <c:v>0.188</c:v>
                </c:pt>
                <c:pt idx="3">
                  <c:v>0.172</c:v>
                </c:pt>
                <c:pt idx="4">
                  <c:v>0.237</c:v>
                </c:pt>
              </c:numCache>
            </c:numRef>
          </c:val>
        </c:ser>
        <c:ser>
          <c:idx val="2"/>
          <c:order val="2"/>
          <c:tx>
            <c:strRef>
              <c:f>'Scores by Grade Level DATA'!$A$19</c:f>
              <c:strCache>
                <c:ptCount val="1"/>
                <c:pt idx="0">
                  <c:v>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3
20%</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3
26%</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3
26%</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3
25%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3
25.9%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DATA'!$B$16:$F$16</c:f>
              <c:strCache>
                <c:ptCount val="5"/>
                <c:pt idx="0">
                  <c:v>Freshmen 4%</c:v>
                </c:pt>
                <c:pt idx="1">
                  <c:v>Soph 74%</c:v>
                </c:pt>
                <c:pt idx="2">
                  <c:v>Juniors 12%</c:v>
                </c:pt>
                <c:pt idx="3">
                  <c:v>Seniors 8%</c:v>
                </c:pt>
                <c:pt idx="4">
                  <c:v>Overall</c:v>
                </c:pt>
              </c:strCache>
            </c:strRef>
          </c:cat>
          <c:val>
            <c:numRef>
              <c:f>'Scores by Grade Level DATA'!$B$19:$F$19</c:f>
              <c:numCache>
                <c:ptCount val="5"/>
                <c:pt idx="0">
                  <c:v>0.196</c:v>
                </c:pt>
                <c:pt idx="1">
                  <c:v>0.263</c:v>
                </c:pt>
                <c:pt idx="2">
                  <c:v>0.262</c:v>
                </c:pt>
                <c:pt idx="3">
                  <c:v>0.251</c:v>
                </c:pt>
                <c:pt idx="4">
                  <c:v>0.259</c:v>
                </c:pt>
              </c:numCache>
            </c:numRef>
          </c:val>
        </c:ser>
        <c:ser>
          <c:idx val="3"/>
          <c:order val="3"/>
          <c:tx>
            <c:strRef>
              <c:f>'Scores by Grade Level DATA'!$A$20</c:f>
              <c:strCache>
                <c:ptCount val="1"/>
                <c:pt idx="0">
                  <c:v>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4
12%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4
18%</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4
23%</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4
25%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4
18.9%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DATA'!$B$16:$F$16</c:f>
              <c:strCache>
                <c:ptCount val="5"/>
                <c:pt idx="0">
                  <c:v>Freshmen 4%</c:v>
                </c:pt>
                <c:pt idx="1">
                  <c:v>Soph 74%</c:v>
                </c:pt>
                <c:pt idx="2">
                  <c:v>Juniors 12%</c:v>
                </c:pt>
                <c:pt idx="3">
                  <c:v>Seniors 8%</c:v>
                </c:pt>
                <c:pt idx="4">
                  <c:v>Overall</c:v>
                </c:pt>
              </c:strCache>
            </c:strRef>
          </c:cat>
          <c:val>
            <c:numRef>
              <c:f>'Scores by Grade Level DATA'!$B$20:$F$20</c:f>
              <c:numCache>
                <c:ptCount val="5"/>
                <c:pt idx="0">
                  <c:v>0.119</c:v>
                </c:pt>
                <c:pt idx="1">
                  <c:v>0.179</c:v>
                </c:pt>
                <c:pt idx="2">
                  <c:v>0.234</c:v>
                </c:pt>
                <c:pt idx="3">
                  <c:v>0.253</c:v>
                </c:pt>
                <c:pt idx="4">
                  <c:v>0.189</c:v>
                </c:pt>
              </c:numCache>
            </c:numRef>
          </c:val>
        </c:ser>
        <c:ser>
          <c:idx val="4"/>
          <c:order val="4"/>
          <c:tx>
            <c:strRef>
              <c:f>'Scores by Grade Level DATA'!$A$21</c:f>
              <c:strCache>
                <c:ptCount val="1"/>
                <c:pt idx="0">
                  <c:v>5</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5 - 6%</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5
10%</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5
16%</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5
21%</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5
11.4%</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DATA'!$B$16:$F$16</c:f>
              <c:strCache>
                <c:ptCount val="5"/>
                <c:pt idx="0">
                  <c:v>Freshmen 4%</c:v>
                </c:pt>
                <c:pt idx="1">
                  <c:v>Soph 74%</c:v>
                </c:pt>
                <c:pt idx="2">
                  <c:v>Juniors 12%</c:v>
                </c:pt>
                <c:pt idx="3">
                  <c:v>Seniors 8%</c:v>
                </c:pt>
                <c:pt idx="4">
                  <c:v>Overall</c:v>
                </c:pt>
              </c:strCache>
            </c:strRef>
          </c:cat>
          <c:val>
            <c:numRef>
              <c:f>'Scores by Grade Level DATA'!$B$21:$F$21</c:f>
              <c:numCache>
                <c:ptCount val="5"/>
                <c:pt idx="0">
                  <c:v>0.062</c:v>
                </c:pt>
                <c:pt idx="1">
                  <c:v>0.098</c:v>
                </c:pt>
                <c:pt idx="2">
                  <c:v>0.161</c:v>
                </c:pt>
                <c:pt idx="3">
                  <c:v>0.206</c:v>
                </c:pt>
                <c:pt idx="4">
                  <c:v>0.114</c:v>
                </c:pt>
              </c:numCache>
            </c:numRef>
          </c:val>
        </c:ser>
        <c:overlap val="98"/>
        <c:gapWidth val="80"/>
        <c:axId val="35690412"/>
        <c:axId val="52778253"/>
      </c:barChart>
      <c:catAx>
        <c:axId val="35690412"/>
        <c:scaling>
          <c:orientation val="minMax"/>
        </c:scaling>
        <c:axPos val="b"/>
        <c:title>
          <c:tx>
            <c:rich>
              <a:bodyPr vert="horz" rot="0" anchor="ctr"/>
              <a:lstStyle/>
              <a:p>
                <a:pPr algn="ctr">
                  <a:defRPr/>
                </a:pPr>
                <a:r>
                  <a:rPr lang="en-US" cap="none" sz="1400" b="1" i="0" u="none" baseline="0">
                    <a:latin typeface="Geneva"/>
                    <a:ea typeface="Geneva"/>
                    <a:cs typeface="Geneva"/>
                  </a:rPr>
                  <a:t>Age of Students &amp; % of Test Takers</a:t>
                </a:r>
              </a:p>
            </c:rich>
          </c:tx>
          <c:layout/>
          <c:overlay val="0"/>
          <c:spPr>
            <a:noFill/>
            <a:ln>
              <a:noFill/>
            </a:ln>
          </c:spPr>
        </c:title>
        <c:delete val="0"/>
        <c:numFmt formatCode="General" sourceLinked="1"/>
        <c:majorTickMark val="out"/>
        <c:minorTickMark val="none"/>
        <c:tickLblPos val="nextTo"/>
        <c:txPr>
          <a:bodyPr/>
          <a:lstStyle/>
          <a:p>
            <a:pPr>
              <a:defRPr lang="en-US" cap="none" sz="1400" b="1" i="0" u="none" baseline="0">
                <a:latin typeface="Geneva"/>
                <a:ea typeface="Geneva"/>
                <a:cs typeface="Geneva"/>
              </a:defRPr>
            </a:pPr>
          </a:p>
        </c:txPr>
        <c:crossAx val="52778253"/>
        <c:crosses val="autoZero"/>
        <c:auto val="1"/>
        <c:lblOffset val="100"/>
        <c:noMultiLvlLbl val="0"/>
      </c:catAx>
      <c:valAx>
        <c:axId val="52778253"/>
        <c:scaling>
          <c:orientation val="minMax"/>
        </c:scaling>
        <c:axPos val="l"/>
        <c:majorGridlines>
          <c:spPr>
            <a:ln w="3175">
              <a:solidFill/>
              <a:prstDash val="sysDot"/>
            </a:ln>
          </c:spPr>
        </c:majorGridlines>
        <c:delete val="0"/>
        <c:numFmt formatCode="General" sourceLinked="1"/>
        <c:majorTickMark val="out"/>
        <c:minorTickMark val="none"/>
        <c:tickLblPos val="nextTo"/>
        <c:crossAx val="3569041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latin typeface="Geneva"/>
          <a:ea typeface="Geneva"/>
          <a:cs typeface="Genev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Geneva"/>
                <a:ea typeface="Geneva"/>
                <a:cs typeface="Geneva"/>
              </a:rPr>
              <a:t>2004 AP World History Score Distribution by Grade Level</a:t>
            </a:r>
          </a:p>
        </c:rich>
      </c:tx>
      <c:layout>
        <c:manualLayout>
          <c:xMode val="factor"/>
          <c:yMode val="factor"/>
          <c:x val="0"/>
          <c:y val="0.0335"/>
        </c:manualLayout>
      </c:layout>
      <c:spPr>
        <a:noFill/>
        <a:ln>
          <a:noFill/>
        </a:ln>
      </c:spPr>
    </c:title>
    <c:plotArea>
      <c:layout>
        <c:manualLayout>
          <c:xMode val="edge"/>
          <c:yMode val="edge"/>
          <c:x val="0.013"/>
          <c:y val="0.132"/>
          <c:w val="0.9175"/>
          <c:h val="0.81075"/>
        </c:manualLayout>
      </c:layout>
      <c:barChart>
        <c:barDir val="col"/>
        <c:grouping val="percentStacked"/>
        <c:varyColors val="0"/>
        <c:ser>
          <c:idx val="0"/>
          <c:order val="0"/>
          <c:tx>
            <c:strRef>
              <c:f>'Scores by Grade Level DATA'!$A$25</c:f>
              <c:strCache>
                <c:ptCount val="1"/>
                <c:pt idx="0">
                  <c:v>1</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1
36%</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1
23%</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1
13%</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1
15%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1
22.0%</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DATA'!$B$24:$F$24</c:f>
              <c:strCache>
                <c:ptCount val="5"/>
                <c:pt idx="0">
                  <c:v>Freshmen 4%</c:v>
                </c:pt>
                <c:pt idx="1">
                  <c:v>Soph 75%</c:v>
                </c:pt>
                <c:pt idx="2">
                  <c:v>Juniors 10%</c:v>
                </c:pt>
                <c:pt idx="3">
                  <c:v>Seniors 7%</c:v>
                </c:pt>
                <c:pt idx="4">
                  <c:v>Overall</c:v>
                </c:pt>
              </c:strCache>
            </c:strRef>
          </c:cat>
          <c:val>
            <c:numRef>
              <c:f>'Scores by Grade Level DATA'!$B$25:$F$25</c:f>
              <c:numCache>
                <c:ptCount val="5"/>
                <c:pt idx="0">
                  <c:v>0.364</c:v>
                </c:pt>
                <c:pt idx="1">
                  <c:v>0.227</c:v>
                </c:pt>
                <c:pt idx="2">
                  <c:v>0.135</c:v>
                </c:pt>
                <c:pt idx="3">
                  <c:v>0.154</c:v>
                </c:pt>
                <c:pt idx="4">
                  <c:v>0.22</c:v>
                </c:pt>
              </c:numCache>
            </c:numRef>
          </c:val>
        </c:ser>
        <c:ser>
          <c:idx val="1"/>
          <c:order val="1"/>
          <c:tx>
            <c:strRef>
              <c:f>'Scores by Grade Level DATA'!$A$26</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2
23%</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2
23%</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2
20%</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2
18%</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2
23.2%</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DATA'!$B$24:$F$24</c:f>
              <c:strCache>
                <c:ptCount val="5"/>
                <c:pt idx="0">
                  <c:v>Freshmen 4%</c:v>
                </c:pt>
                <c:pt idx="1">
                  <c:v>Soph 75%</c:v>
                </c:pt>
                <c:pt idx="2">
                  <c:v>Juniors 10%</c:v>
                </c:pt>
                <c:pt idx="3">
                  <c:v>Seniors 7%</c:v>
                </c:pt>
                <c:pt idx="4">
                  <c:v>Overall</c:v>
                </c:pt>
              </c:strCache>
            </c:strRef>
          </c:cat>
          <c:val>
            <c:numRef>
              <c:f>'Scores by Grade Level DATA'!$B$26:$F$26</c:f>
              <c:numCache>
                <c:ptCount val="5"/>
                <c:pt idx="0">
                  <c:v>0.225</c:v>
                </c:pt>
                <c:pt idx="1">
                  <c:v>0.23</c:v>
                </c:pt>
                <c:pt idx="2">
                  <c:v>0.201</c:v>
                </c:pt>
                <c:pt idx="3">
                  <c:v>0.181</c:v>
                </c:pt>
                <c:pt idx="4">
                  <c:v>0.232</c:v>
                </c:pt>
              </c:numCache>
            </c:numRef>
          </c:val>
        </c:ser>
        <c:ser>
          <c:idx val="2"/>
          <c:order val="2"/>
          <c:tx>
            <c:strRef>
              <c:f>'Scores by Grade Level DATA'!$A$27</c:f>
              <c:strCache>
                <c:ptCount val="1"/>
                <c:pt idx="0">
                  <c:v>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3
23%</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3
28%</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3
30%</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3
26%</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3
27.8%</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DATA'!$B$24:$F$24</c:f>
              <c:strCache>
                <c:ptCount val="5"/>
                <c:pt idx="0">
                  <c:v>Freshmen 4%</c:v>
                </c:pt>
                <c:pt idx="1">
                  <c:v>Soph 75%</c:v>
                </c:pt>
                <c:pt idx="2">
                  <c:v>Juniors 10%</c:v>
                </c:pt>
                <c:pt idx="3">
                  <c:v>Seniors 7%</c:v>
                </c:pt>
                <c:pt idx="4">
                  <c:v>Overall</c:v>
                </c:pt>
              </c:strCache>
            </c:strRef>
          </c:cat>
          <c:val>
            <c:numRef>
              <c:f>'Scores by Grade Level DATA'!$B$27:$F$27</c:f>
              <c:numCache>
                <c:ptCount val="5"/>
                <c:pt idx="0">
                  <c:v>0.232</c:v>
                </c:pt>
                <c:pt idx="1">
                  <c:v>0.281</c:v>
                </c:pt>
                <c:pt idx="2">
                  <c:v>0.297</c:v>
                </c:pt>
                <c:pt idx="3">
                  <c:v>0.261</c:v>
                </c:pt>
                <c:pt idx="4">
                  <c:v>0.278</c:v>
                </c:pt>
              </c:numCache>
            </c:numRef>
          </c:val>
        </c:ser>
        <c:ser>
          <c:idx val="3"/>
          <c:order val="3"/>
          <c:tx>
            <c:strRef>
              <c:f>'Scores by Grade Level DATA'!$A$28</c:f>
              <c:strCache>
                <c:ptCount val="1"/>
                <c:pt idx="0">
                  <c:v>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4
11%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4
15%</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4
21%</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4
21%</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4
16.1%</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DATA'!$B$24:$F$24</c:f>
              <c:strCache>
                <c:ptCount val="5"/>
                <c:pt idx="0">
                  <c:v>Freshmen 4%</c:v>
                </c:pt>
                <c:pt idx="1">
                  <c:v>Soph 75%</c:v>
                </c:pt>
                <c:pt idx="2">
                  <c:v>Juniors 10%</c:v>
                </c:pt>
                <c:pt idx="3">
                  <c:v>Seniors 7%</c:v>
                </c:pt>
                <c:pt idx="4">
                  <c:v>Overall</c:v>
                </c:pt>
              </c:strCache>
            </c:strRef>
          </c:cat>
          <c:val>
            <c:numRef>
              <c:f>'Scores by Grade Level DATA'!$B$28:$F$28</c:f>
              <c:numCache>
                <c:ptCount val="5"/>
                <c:pt idx="0">
                  <c:v>0.111</c:v>
                </c:pt>
                <c:pt idx="1">
                  <c:v>0.153</c:v>
                </c:pt>
                <c:pt idx="2">
                  <c:v>0.208</c:v>
                </c:pt>
                <c:pt idx="3">
                  <c:v>0.214</c:v>
                </c:pt>
                <c:pt idx="4">
                  <c:v>0.161</c:v>
                </c:pt>
              </c:numCache>
            </c:numRef>
          </c:val>
        </c:ser>
        <c:ser>
          <c:idx val="4"/>
          <c:order val="4"/>
          <c:tx>
            <c:strRef>
              <c:f>'Scores by Grade Level DATA'!$A$29</c:f>
              <c:strCache>
                <c:ptCount val="1"/>
                <c:pt idx="0">
                  <c:v>5</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latin typeface="Geneva"/>
                        <a:ea typeface="Geneva"/>
                        <a:cs typeface="Geneva"/>
                      </a:rPr>
                      <a:t>5 - 7%</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latin typeface="Geneva"/>
                        <a:ea typeface="Geneva"/>
                        <a:cs typeface="Geneva"/>
                      </a:rPr>
                      <a:t>5
10%</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latin typeface="Geneva"/>
                        <a:ea typeface="Geneva"/>
                        <a:cs typeface="Geneva"/>
                      </a:rPr>
                      <a:t>5
16%</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200" b="1" i="0" u="none" baseline="0">
                        <a:latin typeface="Geneva"/>
                        <a:ea typeface="Geneva"/>
                        <a:cs typeface="Geneva"/>
                      </a:rPr>
                      <a:t>5
19%</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200" b="1" i="0" u="none" baseline="0">
                        <a:latin typeface="Geneva"/>
                        <a:ea typeface="Geneva"/>
                        <a:cs typeface="Geneva"/>
                      </a:rPr>
                      <a:t>5
10.9%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Geneva"/>
                    <a:ea typeface="Geneva"/>
                    <a:cs typeface="Geneva"/>
                  </a:defRPr>
                </a:pPr>
              </a:p>
            </c:txPr>
            <c:showLegendKey val="0"/>
            <c:showVal val="1"/>
            <c:showBubbleSize val="0"/>
            <c:showCatName val="0"/>
            <c:showSerName val="0"/>
            <c:showPercent val="0"/>
          </c:dLbls>
          <c:cat>
            <c:strRef>
              <c:f>'Scores by Grade Level DATA'!$B$24:$F$24</c:f>
              <c:strCache>
                <c:ptCount val="5"/>
                <c:pt idx="0">
                  <c:v>Freshmen 4%</c:v>
                </c:pt>
                <c:pt idx="1">
                  <c:v>Soph 75%</c:v>
                </c:pt>
                <c:pt idx="2">
                  <c:v>Juniors 10%</c:v>
                </c:pt>
                <c:pt idx="3">
                  <c:v>Seniors 7%</c:v>
                </c:pt>
                <c:pt idx="4">
                  <c:v>Overall</c:v>
                </c:pt>
              </c:strCache>
            </c:strRef>
          </c:cat>
          <c:val>
            <c:numRef>
              <c:f>'Scores by Grade Level DATA'!$B$29:$F$29</c:f>
              <c:numCache>
                <c:ptCount val="5"/>
                <c:pt idx="0">
                  <c:v>0.069</c:v>
                </c:pt>
                <c:pt idx="1">
                  <c:v>0.098</c:v>
                </c:pt>
                <c:pt idx="2">
                  <c:v>0.159</c:v>
                </c:pt>
                <c:pt idx="3">
                  <c:v>0.189</c:v>
                </c:pt>
                <c:pt idx="4">
                  <c:v>0.109</c:v>
                </c:pt>
              </c:numCache>
            </c:numRef>
          </c:val>
        </c:ser>
        <c:overlap val="98"/>
        <c:gapWidth val="80"/>
        <c:axId val="5242230"/>
        <c:axId val="47180071"/>
      </c:barChart>
      <c:catAx>
        <c:axId val="5242230"/>
        <c:scaling>
          <c:orientation val="minMax"/>
        </c:scaling>
        <c:axPos val="b"/>
        <c:title>
          <c:tx>
            <c:rich>
              <a:bodyPr vert="horz" rot="0" anchor="ctr"/>
              <a:lstStyle/>
              <a:p>
                <a:pPr algn="ctr">
                  <a:defRPr/>
                </a:pPr>
                <a:r>
                  <a:rPr lang="en-US" cap="none" sz="1400" b="1" i="0" u="none" baseline="0">
                    <a:latin typeface="Geneva"/>
                    <a:ea typeface="Geneva"/>
                    <a:cs typeface="Geneva"/>
                  </a:rPr>
                  <a:t>Age of Students &amp; % of Test Takers</a:t>
                </a:r>
              </a:p>
            </c:rich>
          </c:tx>
          <c:layout/>
          <c:overlay val="0"/>
          <c:spPr>
            <a:noFill/>
            <a:ln>
              <a:noFill/>
            </a:ln>
          </c:spPr>
        </c:title>
        <c:delete val="0"/>
        <c:numFmt formatCode="General" sourceLinked="1"/>
        <c:majorTickMark val="out"/>
        <c:minorTickMark val="none"/>
        <c:tickLblPos val="nextTo"/>
        <c:txPr>
          <a:bodyPr/>
          <a:lstStyle/>
          <a:p>
            <a:pPr>
              <a:defRPr lang="en-US" cap="none" sz="1400" b="1" i="0" u="none" baseline="0">
                <a:latin typeface="Geneva"/>
                <a:ea typeface="Geneva"/>
                <a:cs typeface="Geneva"/>
              </a:defRPr>
            </a:pPr>
          </a:p>
        </c:txPr>
        <c:crossAx val="47180071"/>
        <c:crosses val="autoZero"/>
        <c:auto val="1"/>
        <c:lblOffset val="100"/>
        <c:noMultiLvlLbl val="0"/>
      </c:catAx>
      <c:valAx>
        <c:axId val="47180071"/>
        <c:scaling>
          <c:orientation val="minMax"/>
        </c:scaling>
        <c:axPos val="l"/>
        <c:majorGridlines>
          <c:spPr>
            <a:ln w="3175">
              <a:solidFill/>
              <a:prstDash val="sysDot"/>
            </a:ln>
          </c:spPr>
        </c:majorGridlines>
        <c:delete val="0"/>
        <c:numFmt formatCode="General" sourceLinked="1"/>
        <c:majorTickMark val="out"/>
        <c:minorTickMark val="none"/>
        <c:tickLblPos val="nextTo"/>
        <c:crossAx val="524223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latin typeface="Geneva"/>
          <a:ea typeface="Geneva"/>
          <a:cs typeface="Genev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AP World History
Scores by Grade Level 2002-2004</a:t>
            </a:r>
          </a:p>
        </c:rich>
      </c:tx>
      <c:layout/>
      <c:spPr>
        <a:noFill/>
        <a:ln>
          <a:noFill/>
        </a:ln>
      </c:spPr>
    </c:title>
    <c:plotArea>
      <c:layout>
        <c:manualLayout>
          <c:xMode val="edge"/>
          <c:yMode val="edge"/>
          <c:x val="0.0115"/>
          <c:y val="0.1345"/>
          <c:w val="0.977"/>
          <c:h val="0.85"/>
        </c:manualLayout>
      </c:layout>
      <c:barChart>
        <c:barDir val="col"/>
        <c:grouping val="percentStacked"/>
        <c:varyColors val="0"/>
        <c:ser>
          <c:idx val="0"/>
          <c:order val="0"/>
          <c:tx>
            <c:strRef>
              <c:f>'Scores by Grade Level DATA'!$H$18</c:f>
              <c:strCache>
                <c:ptCount val="1"/>
                <c:pt idx="0">
                  <c:v>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1"/>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2"/>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3"/>
              <c:delete val="1"/>
            </c:dLbl>
            <c:dLbl>
              <c:idx val="4"/>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5"/>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6"/>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7"/>
              <c:delete val="1"/>
            </c:dLbl>
            <c:dLbl>
              <c:idx val="8"/>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9"/>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0"/>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11"/>
              <c:delete val="1"/>
            </c:dLbl>
            <c:dLbl>
              <c:idx val="12"/>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13"/>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4"/>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15"/>
              <c:delete val="1"/>
            </c:dLbl>
            <c:dLbl>
              <c:idx val="16"/>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17"/>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8"/>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dLbl>
              <c:idx val="19"/>
              <c:tx>
                <c:rich>
                  <a:bodyPr vert="horz" rot="0" anchor="ctr"/>
                  <a:lstStyle/>
                  <a:p>
                    <a:pPr algn="ctr">
                      <a:defRPr/>
                    </a:pPr>
                    <a:r>
                      <a:rPr lang="en-US" cap="none" sz="1200" b="1" i="0" u="none" baseline="0"/>
                      <a:t>1</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200" b="1" i="0" u="none" baseline="0"/>
                </a:pPr>
              </a:p>
            </c:txPr>
            <c:showLegendKey val="0"/>
            <c:showVal val="0"/>
            <c:showBubbleSize val="0"/>
            <c:showCatName val="0"/>
            <c:showSerName val="1"/>
            <c:showPercent val="0"/>
          </c:dLbls>
          <c:cat>
            <c:multiLvlStrRef>
              <c:f>'Scores by Grade Level DATA'!$I$16:$AA$17</c:f>
              <c:multiLvlStrCache>
                <c:ptCount val="19"/>
                <c:lvl>
                  <c:pt idx="0">
                    <c:v>2002</c:v>
                  </c:pt>
                  <c:pt idx="1">
                    <c:v>2003</c:v>
                  </c:pt>
                  <c:pt idx="2">
                    <c:v>2004</c:v>
                  </c:pt>
                  <c:pt idx="3">
                    <c:v>0</c:v>
                  </c:pt>
                  <c:pt idx="4">
                    <c:v>2002</c:v>
                  </c:pt>
                  <c:pt idx="5">
                    <c:v>2003</c:v>
                  </c:pt>
                  <c:pt idx="6">
                    <c:v>2004</c:v>
                  </c:pt>
                  <c:pt idx="7">
                    <c:v>0</c:v>
                  </c:pt>
                  <c:pt idx="8">
                    <c:v>2002</c:v>
                  </c:pt>
                  <c:pt idx="9">
                    <c:v>2003</c:v>
                  </c:pt>
                  <c:pt idx="10">
                    <c:v>2004</c:v>
                  </c:pt>
                  <c:pt idx="11">
                    <c:v>0</c:v>
                  </c:pt>
                  <c:pt idx="12">
                    <c:v>2002</c:v>
                  </c:pt>
                  <c:pt idx="13">
                    <c:v>2003</c:v>
                  </c:pt>
                  <c:pt idx="14">
                    <c:v>2004</c:v>
                  </c:pt>
                  <c:pt idx="15">
                    <c:v>0</c:v>
                  </c:pt>
                  <c:pt idx="16">
                    <c:v>2002</c:v>
                  </c:pt>
                  <c:pt idx="17">
                    <c:v>2003</c:v>
                  </c:pt>
                  <c:pt idx="18">
                    <c:v>2004</c:v>
                  </c:pt>
                </c:lvl>
                <c:lvl>
                  <c:pt idx="0">
                    <c:v>Freshmen</c:v>
                  </c:pt>
                  <c:pt idx="4">
                    <c:v>Sophomores</c:v>
                  </c:pt>
                  <c:pt idx="8">
                    <c:v>Juniors</c:v>
                  </c:pt>
                  <c:pt idx="12">
                    <c:v>Seniors</c:v>
                  </c:pt>
                  <c:pt idx="16">
                    <c:v>Overall</c:v>
                  </c:pt>
                </c:lvl>
              </c:multiLvlStrCache>
            </c:multiLvlStrRef>
          </c:cat>
          <c:val>
            <c:numRef>
              <c:f>'Scores by Grade Level DATA'!$I$18:$AA$18</c:f>
              <c:numCache>
                <c:ptCount val="19"/>
                <c:pt idx="0">
                  <c:v>0.393</c:v>
                </c:pt>
                <c:pt idx="1">
                  <c:v>0.372</c:v>
                </c:pt>
                <c:pt idx="2">
                  <c:v>0.364</c:v>
                </c:pt>
                <c:pt idx="4">
                  <c:v>0.2</c:v>
                </c:pt>
                <c:pt idx="5">
                  <c:v>0.209</c:v>
                </c:pt>
                <c:pt idx="6">
                  <c:v>0.227</c:v>
                </c:pt>
                <c:pt idx="8">
                  <c:v>0.112</c:v>
                </c:pt>
                <c:pt idx="9">
                  <c:v>0.156</c:v>
                </c:pt>
                <c:pt idx="10">
                  <c:v>0.135</c:v>
                </c:pt>
                <c:pt idx="12">
                  <c:v>0.101</c:v>
                </c:pt>
                <c:pt idx="13">
                  <c:v>0.119</c:v>
                </c:pt>
                <c:pt idx="14">
                  <c:v>0.154</c:v>
                </c:pt>
                <c:pt idx="16">
                  <c:v>0.184</c:v>
                </c:pt>
                <c:pt idx="17">
                  <c:v>0.201</c:v>
                </c:pt>
                <c:pt idx="18">
                  <c:v>0.22</c:v>
                </c:pt>
              </c:numCache>
            </c:numRef>
          </c:val>
        </c:ser>
        <c:ser>
          <c:idx val="1"/>
          <c:order val="1"/>
          <c:tx>
            <c:strRef>
              <c:f>'Scores by Grade Level DATA'!$H$19</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1"/>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2"/>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3"/>
              <c:delete val="1"/>
            </c:dLbl>
            <c:dLbl>
              <c:idx val="4"/>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5"/>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6"/>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7"/>
              <c:delete val="1"/>
            </c:dLbl>
            <c:dLbl>
              <c:idx val="8"/>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9"/>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0"/>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11"/>
              <c:delete val="1"/>
            </c:dLbl>
            <c:dLbl>
              <c:idx val="12"/>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13"/>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4"/>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15"/>
              <c:delete val="1"/>
            </c:dLbl>
            <c:dLbl>
              <c:idx val="16"/>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17"/>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8"/>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dLbl>
              <c:idx val="19"/>
              <c:tx>
                <c:rich>
                  <a:bodyPr vert="horz" rot="0" anchor="ctr"/>
                  <a:lstStyle/>
                  <a:p>
                    <a:pPr algn="ctr">
                      <a:defRPr/>
                    </a:pPr>
                    <a:r>
                      <a:rPr lang="en-US" cap="none" sz="1200" b="1" i="0" u="none" baseline="0"/>
                      <a:t>2</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200" b="1" i="0" u="none" baseline="0"/>
                </a:pPr>
              </a:p>
            </c:txPr>
            <c:showLegendKey val="0"/>
            <c:showVal val="0"/>
            <c:showBubbleSize val="0"/>
            <c:showCatName val="0"/>
            <c:showSerName val="1"/>
            <c:showPercent val="0"/>
          </c:dLbls>
          <c:cat>
            <c:multiLvlStrRef>
              <c:f>'Scores by Grade Level DATA'!$I$16:$AA$17</c:f>
              <c:multiLvlStrCache>
                <c:ptCount val="19"/>
                <c:lvl>
                  <c:pt idx="0">
                    <c:v>2002</c:v>
                  </c:pt>
                  <c:pt idx="1">
                    <c:v>2003</c:v>
                  </c:pt>
                  <c:pt idx="2">
                    <c:v>2004</c:v>
                  </c:pt>
                  <c:pt idx="3">
                    <c:v>0</c:v>
                  </c:pt>
                  <c:pt idx="4">
                    <c:v>2002</c:v>
                  </c:pt>
                  <c:pt idx="5">
                    <c:v>2003</c:v>
                  </c:pt>
                  <c:pt idx="6">
                    <c:v>2004</c:v>
                  </c:pt>
                  <c:pt idx="7">
                    <c:v>0</c:v>
                  </c:pt>
                  <c:pt idx="8">
                    <c:v>2002</c:v>
                  </c:pt>
                  <c:pt idx="9">
                    <c:v>2003</c:v>
                  </c:pt>
                  <c:pt idx="10">
                    <c:v>2004</c:v>
                  </c:pt>
                  <c:pt idx="11">
                    <c:v>0</c:v>
                  </c:pt>
                  <c:pt idx="12">
                    <c:v>2002</c:v>
                  </c:pt>
                  <c:pt idx="13">
                    <c:v>2003</c:v>
                  </c:pt>
                  <c:pt idx="14">
                    <c:v>2004</c:v>
                  </c:pt>
                  <c:pt idx="15">
                    <c:v>0</c:v>
                  </c:pt>
                  <c:pt idx="16">
                    <c:v>2002</c:v>
                  </c:pt>
                  <c:pt idx="17">
                    <c:v>2003</c:v>
                  </c:pt>
                  <c:pt idx="18">
                    <c:v>2004</c:v>
                  </c:pt>
                </c:lvl>
                <c:lvl>
                  <c:pt idx="0">
                    <c:v>Freshmen</c:v>
                  </c:pt>
                  <c:pt idx="4">
                    <c:v>Sophomores</c:v>
                  </c:pt>
                  <c:pt idx="8">
                    <c:v>Juniors</c:v>
                  </c:pt>
                  <c:pt idx="12">
                    <c:v>Seniors</c:v>
                  </c:pt>
                  <c:pt idx="16">
                    <c:v>Overall</c:v>
                  </c:pt>
                </c:lvl>
              </c:multiLvlStrCache>
            </c:multiLvlStrRef>
          </c:cat>
          <c:val>
            <c:numRef>
              <c:f>'Scores by Grade Level DATA'!$I$19:$AA$19</c:f>
              <c:numCache>
                <c:ptCount val="19"/>
                <c:pt idx="0">
                  <c:v>0.281</c:v>
                </c:pt>
                <c:pt idx="1">
                  <c:v>0.251</c:v>
                </c:pt>
                <c:pt idx="2">
                  <c:v>0.225</c:v>
                </c:pt>
                <c:pt idx="4">
                  <c:v>0.269</c:v>
                </c:pt>
                <c:pt idx="5">
                  <c:v>0.251</c:v>
                </c:pt>
                <c:pt idx="6">
                  <c:v>0.23</c:v>
                </c:pt>
                <c:pt idx="8">
                  <c:v>0.18</c:v>
                </c:pt>
                <c:pt idx="9">
                  <c:v>0.188</c:v>
                </c:pt>
                <c:pt idx="10">
                  <c:v>0.201</c:v>
                </c:pt>
                <c:pt idx="12">
                  <c:v>0.164</c:v>
                </c:pt>
                <c:pt idx="13">
                  <c:v>0.172</c:v>
                </c:pt>
                <c:pt idx="14">
                  <c:v>0.181</c:v>
                </c:pt>
                <c:pt idx="16">
                  <c:v>0.245</c:v>
                </c:pt>
                <c:pt idx="17">
                  <c:v>0.237</c:v>
                </c:pt>
                <c:pt idx="18">
                  <c:v>0.232</c:v>
                </c:pt>
              </c:numCache>
            </c:numRef>
          </c:val>
        </c:ser>
        <c:ser>
          <c:idx val="2"/>
          <c:order val="2"/>
          <c:tx>
            <c:strRef>
              <c:f>'Scores by Grade Level DATA'!$H$20</c:f>
              <c:strCache>
                <c:ptCount val="1"/>
                <c:pt idx="0">
                  <c:v>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1"/>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2"/>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3"/>
              <c:delete val="1"/>
            </c:dLbl>
            <c:dLbl>
              <c:idx val="4"/>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5"/>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6"/>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7"/>
              <c:delete val="1"/>
            </c:dLbl>
            <c:dLbl>
              <c:idx val="8"/>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9"/>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0"/>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11"/>
              <c:delete val="1"/>
            </c:dLbl>
            <c:dLbl>
              <c:idx val="12"/>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13"/>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4"/>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15"/>
              <c:delete val="1"/>
            </c:dLbl>
            <c:dLbl>
              <c:idx val="16"/>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17"/>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8"/>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dLbl>
              <c:idx val="19"/>
              <c:tx>
                <c:rich>
                  <a:bodyPr vert="horz" rot="0" anchor="ctr"/>
                  <a:lstStyle/>
                  <a:p>
                    <a:pPr algn="ctr">
                      <a:defRPr/>
                    </a:pPr>
                    <a:r>
                      <a:rPr lang="en-US" cap="none" sz="1200" b="1" i="0" u="none" baseline="0"/>
                      <a:t>3</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200" b="1" i="0" u="none" baseline="0"/>
                </a:pPr>
              </a:p>
            </c:txPr>
            <c:showLegendKey val="0"/>
            <c:showVal val="0"/>
            <c:showBubbleSize val="0"/>
            <c:showCatName val="0"/>
            <c:showSerName val="1"/>
            <c:showPercent val="0"/>
          </c:dLbls>
          <c:cat>
            <c:multiLvlStrRef>
              <c:f>'Scores by Grade Level DATA'!$I$16:$AA$17</c:f>
              <c:multiLvlStrCache>
                <c:ptCount val="19"/>
                <c:lvl>
                  <c:pt idx="0">
                    <c:v>2002</c:v>
                  </c:pt>
                  <c:pt idx="1">
                    <c:v>2003</c:v>
                  </c:pt>
                  <c:pt idx="2">
                    <c:v>2004</c:v>
                  </c:pt>
                  <c:pt idx="3">
                    <c:v>0</c:v>
                  </c:pt>
                  <c:pt idx="4">
                    <c:v>2002</c:v>
                  </c:pt>
                  <c:pt idx="5">
                    <c:v>2003</c:v>
                  </c:pt>
                  <c:pt idx="6">
                    <c:v>2004</c:v>
                  </c:pt>
                  <c:pt idx="7">
                    <c:v>0</c:v>
                  </c:pt>
                  <c:pt idx="8">
                    <c:v>2002</c:v>
                  </c:pt>
                  <c:pt idx="9">
                    <c:v>2003</c:v>
                  </c:pt>
                  <c:pt idx="10">
                    <c:v>2004</c:v>
                  </c:pt>
                  <c:pt idx="11">
                    <c:v>0</c:v>
                  </c:pt>
                  <c:pt idx="12">
                    <c:v>2002</c:v>
                  </c:pt>
                  <c:pt idx="13">
                    <c:v>2003</c:v>
                  </c:pt>
                  <c:pt idx="14">
                    <c:v>2004</c:v>
                  </c:pt>
                  <c:pt idx="15">
                    <c:v>0</c:v>
                  </c:pt>
                  <c:pt idx="16">
                    <c:v>2002</c:v>
                  </c:pt>
                  <c:pt idx="17">
                    <c:v>2003</c:v>
                  </c:pt>
                  <c:pt idx="18">
                    <c:v>2004</c:v>
                  </c:pt>
                </c:lvl>
                <c:lvl>
                  <c:pt idx="0">
                    <c:v>Freshmen</c:v>
                  </c:pt>
                  <c:pt idx="4">
                    <c:v>Sophomores</c:v>
                  </c:pt>
                  <c:pt idx="8">
                    <c:v>Juniors</c:v>
                  </c:pt>
                  <c:pt idx="12">
                    <c:v>Seniors</c:v>
                  </c:pt>
                  <c:pt idx="16">
                    <c:v>Overall</c:v>
                  </c:pt>
                </c:lvl>
              </c:multiLvlStrCache>
            </c:multiLvlStrRef>
          </c:cat>
          <c:val>
            <c:numRef>
              <c:f>'Scores by Grade Level DATA'!$I$20:$AA$20</c:f>
              <c:numCache>
                <c:ptCount val="19"/>
                <c:pt idx="0">
                  <c:v>0.186</c:v>
                </c:pt>
                <c:pt idx="1">
                  <c:v>0.196</c:v>
                </c:pt>
                <c:pt idx="2">
                  <c:v>0.232</c:v>
                </c:pt>
                <c:pt idx="4">
                  <c:v>0.292</c:v>
                </c:pt>
                <c:pt idx="5">
                  <c:v>0.263</c:v>
                </c:pt>
                <c:pt idx="6">
                  <c:v>0.281</c:v>
                </c:pt>
                <c:pt idx="8">
                  <c:v>0.301</c:v>
                </c:pt>
                <c:pt idx="9">
                  <c:v>0.262</c:v>
                </c:pt>
                <c:pt idx="10">
                  <c:v>0.297</c:v>
                </c:pt>
                <c:pt idx="12">
                  <c:v>0.298</c:v>
                </c:pt>
                <c:pt idx="13">
                  <c:v>0.251</c:v>
                </c:pt>
                <c:pt idx="14">
                  <c:v>0.261</c:v>
                </c:pt>
                <c:pt idx="16">
                  <c:v>0.289</c:v>
                </c:pt>
                <c:pt idx="17">
                  <c:v>0.259</c:v>
                </c:pt>
                <c:pt idx="18">
                  <c:v>0.278</c:v>
                </c:pt>
              </c:numCache>
            </c:numRef>
          </c:val>
        </c:ser>
        <c:ser>
          <c:idx val="3"/>
          <c:order val="3"/>
          <c:tx>
            <c:strRef>
              <c:f>'Scores by Grade Level DATA'!$H$21</c:f>
              <c:strCache>
                <c:ptCount val="1"/>
                <c:pt idx="0">
                  <c:v>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1"/>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2"/>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3"/>
              <c:delete val="1"/>
            </c:dLbl>
            <c:dLbl>
              <c:idx val="4"/>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5"/>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6"/>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7"/>
              <c:delete val="1"/>
            </c:dLbl>
            <c:dLbl>
              <c:idx val="8"/>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9"/>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0"/>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11"/>
              <c:delete val="1"/>
            </c:dLbl>
            <c:dLbl>
              <c:idx val="12"/>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13"/>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4"/>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15"/>
              <c:delete val="1"/>
            </c:dLbl>
            <c:dLbl>
              <c:idx val="16"/>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17"/>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8"/>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dLbl>
              <c:idx val="19"/>
              <c:tx>
                <c:rich>
                  <a:bodyPr vert="horz" rot="0" anchor="ctr"/>
                  <a:lstStyle/>
                  <a:p>
                    <a:pPr algn="ctr">
                      <a:defRPr/>
                    </a:pPr>
                    <a:r>
                      <a:rPr lang="en-US" cap="none" sz="1200" b="1" i="0" u="none" baseline="0"/>
                      <a:t>4</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200" b="1" i="0" u="none" baseline="0"/>
                </a:pPr>
              </a:p>
            </c:txPr>
            <c:showLegendKey val="0"/>
            <c:showVal val="0"/>
            <c:showBubbleSize val="0"/>
            <c:showCatName val="0"/>
            <c:showSerName val="1"/>
            <c:showPercent val="0"/>
          </c:dLbls>
          <c:cat>
            <c:multiLvlStrRef>
              <c:f>'Scores by Grade Level DATA'!$I$16:$AA$17</c:f>
              <c:multiLvlStrCache>
                <c:ptCount val="19"/>
                <c:lvl>
                  <c:pt idx="0">
                    <c:v>2002</c:v>
                  </c:pt>
                  <c:pt idx="1">
                    <c:v>2003</c:v>
                  </c:pt>
                  <c:pt idx="2">
                    <c:v>2004</c:v>
                  </c:pt>
                  <c:pt idx="3">
                    <c:v>0</c:v>
                  </c:pt>
                  <c:pt idx="4">
                    <c:v>2002</c:v>
                  </c:pt>
                  <c:pt idx="5">
                    <c:v>2003</c:v>
                  </c:pt>
                  <c:pt idx="6">
                    <c:v>2004</c:v>
                  </c:pt>
                  <c:pt idx="7">
                    <c:v>0</c:v>
                  </c:pt>
                  <c:pt idx="8">
                    <c:v>2002</c:v>
                  </c:pt>
                  <c:pt idx="9">
                    <c:v>2003</c:v>
                  </c:pt>
                  <c:pt idx="10">
                    <c:v>2004</c:v>
                  </c:pt>
                  <c:pt idx="11">
                    <c:v>0</c:v>
                  </c:pt>
                  <c:pt idx="12">
                    <c:v>2002</c:v>
                  </c:pt>
                  <c:pt idx="13">
                    <c:v>2003</c:v>
                  </c:pt>
                  <c:pt idx="14">
                    <c:v>2004</c:v>
                  </c:pt>
                  <c:pt idx="15">
                    <c:v>0</c:v>
                  </c:pt>
                  <c:pt idx="16">
                    <c:v>2002</c:v>
                  </c:pt>
                  <c:pt idx="17">
                    <c:v>2003</c:v>
                  </c:pt>
                  <c:pt idx="18">
                    <c:v>2004</c:v>
                  </c:pt>
                </c:lvl>
                <c:lvl>
                  <c:pt idx="0">
                    <c:v>Freshmen</c:v>
                  </c:pt>
                  <c:pt idx="4">
                    <c:v>Sophomores</c:v>
                  </c:pt>
                  <c:pt idx="8">
                    <c:v>Juniors</c:v>
                  </c:pt>
                  <c:pt idx="12">
                    <c:v>Seniors</c:v>
                  </c:pt>
                  <c:pt idx="16">
                    <c:v>Overall</c:v>
                  </c:pt>
                </c:lvl>
              </c:multiLvlStrCache>
            </c:multiLvlStrRef>
          </c:cat>
          <c:val>
            <c:numRef>
              <c:f>'Scores by Grade Level DATA'!$I$21:$AA$21</c:f>
              <c:numCache>
                <c:ptCount val="19"/>
                <c:pt idx="0">
                  <c:v>0.099</c:v>
                </c:pt>
                <c:pt idx="1">
                  <c:v>0.119</c:v>
                </c:pt>
                <c:pt idx="2">
                  <c:v>0.111</c:v>
                </c:pt>
                <c:pt idx="4">
                  <c:v>0.16</c:v>
                </c:pt>
                <c:pt idx="5">
                  <c:v>0.179</c:v>
                </c:pt>
                <c:pt idx="6">
                  <c:v>0.153</c:v>
                </c:pt>
                <c:pt idx="8">
                  <c:v>0.228</c:v>
                </c:pt>
                <c:pt idx="9">
                  <c:v>0.234</c:v>
                </c:pt>
                <c:pt idx="10">
                  <c:v>0.208</c:v>
                </c:pt>
                <c:pt idx="12">
                  <c:v>0.247</c:v>
                </c:pt>
                <c:pt idx="13">
                  <c:v>0.253</c:v>
                </c:pt>
                <c:pt idx="14">
                  <c:v>0.214</c:v>
                </c:pt>
                <c:pt idx="16">
                  <c:v>0.176</c:v>
                </c:pt>
                <c:pt idx="17">
                  <c:v>0.189</c:v>
                </c:pt>
                <c:pt idx="18">
                  <c:v>0.161</c:v>
                </c:pt>
              </c:numCache>
            </c:numRef>
          </c:val>
        </c:ser>
        <c:ser>
          <c:idx val="4"/>
          <c:order val="4"/>
          <c:tx>
            <c:strRef>
              <c:f>'Scores by Grade Level DATA'!$H$22</c:f>
              <c:strCache>
                <c:ptCount val="1"/>
                <c:pt idx="0">
                  <c:v>5</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1"/>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2"/>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3"/>
              <c:delete val="1"/>
            </c:dLbl>
            <c:dLbl>
              <c:idx val="4"/>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5"/>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6"/>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7"/>
              <c:delete val="1"/>
            </c:dLbl>
            <c:dLbl>
              <c:idx val="8"/>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9"/>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0"/>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11"/>
              <c:delete val="1"/>
            </c:dLbl>
            <c:dLbl>
              <c:idx val="12"/>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13"/>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4"/>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15"/>
              <c:delete val="1"/>
            </c:dLbl>
            <c:dLbl>
              <c:idx val="16"/>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17"/>
              <c:txPr>
                <a:bodyPr vert="horz" rot="0" anchor="ctr"/>
                <a:lstStyle/>
                <a:p>
                  <a:pPr algn="ctr">
                    <a:defRPr lang="en-US" cap="none" sz="1200" b="1" i="0" u="none" baseline="0"/>
                  </a:pPr>
                </a:p>
              </c:txPr>
              <c:numFmt formatCode="General" sourceLinked="1"/>
              <c:spPr>
                <a:noFill/>
                <a:ln>
                  <a:noFill/>
                </a:ln>
              </c:spPr>
              <c:showLegendKey val="0"/>
              <c:showVal val="0"/>
              <c:showBubbleSize val="0"/>
              <c:showCatName val="0"/>
              <c:showSerName val="1"/>
              <c:showPercent val="0"/>
            </c:dLbl>
            <c:dLbl>
              <c:idx val="18"/>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dLbl>
              <c:idx val="19"/>
              <c:tx>
                <c:rich>
                  <a:bodyPr vert="horz" rot="0" anchor="ctr"/>
                  <a:lstStyle/>
                  <a:p>
                    <a:pPr algn="ctr">
                      <a:defRPr/>
                    </a:pPr>
                    <a:r>
                      <a:rPr lang="en-US" cap="none" sz="1200" b="1" i="0" u="none" baseline="0"/>
                      <a:t>5</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200" b="1" i="0" u="none" baseline="0"/>
                </a:pPr>
              </a:p>
            </c:txPr>
            <c:showLegendKey val="0"/>
            <c:showVal val="0"/>
            <c:showBubbleSize val="0"/>
            <c:showCatName val="0"/>
            <c:showSerName val="1"/>
            <c:showPercent val="0"/>
          </c:dLbls>
          <c:cat>
            <c:multiLvlStrRef>
              <c:f>'Scores by Grade Level DATA'!$I$16:$AA$17</c:f>
              <c:multiLvlStrCache>
                <c:ptCount val="19"/>
                <c:lvl>
                  <c:pt idx="0">
                    <c:v>2002</c:v>
                  </c:pt>
                  <c:pt idx="1">
                    <c:v>2003</c:v>
                  </c:pt>
                  <c:pt idx="2">
                    <c:v>2004</c:v>
                  </c:pt>
                  <c:pt idx="3">
                    <c:v>0</c:v>
                  </c:pt>
                  <c:pt idx="4">
                    <c:v>2002</c:v>
                  </c:pt>
                  <c:pt idx="5">
                    <c:v>2003</c:v>
                  </c:pt>
                  <c:pt idx="6">
                    <c:v>2004</c:v>
                  </c:pt>
                  <c:pt idx="7">
                    <c:v>0</c:v>
                  </c:pt>
                  <c:pt idx="8">
                    <c:v>2002</c:v>
                  </c:pt>
                  <c:pt idx="9">
                    <c:v>2003</c:v>
                  </c:pt>
                  <c:pt idx="10">
                    <c:v>2004</c:v>
                  </c:pt>
                  <c:pt idx="11">
                    <c:v>0</c:v>
                  </c:pt>
                  <c:pt idx="12">
                    <c:v>2002</c:v>
                  </c:pt>
                  <c:pt idx="13">
                    <c:v>2003</c:v>
                  </c:pt>
                  <c:pt idx="14">
                    <c:v>2004</c:v>
                  </c:pt>
                  <c:pt idx="15">
                    <c:v>0</c:v>
                  </c:pt>
                  <c:pt idx="16">
                    <c:v>2002</c:v>
                  </c:pt>
                  <c:pt idx="17">
                    <c:v>2003</c:v>
                  </c:pt>
                  <c:pt idx="18">
                    <c:v>2004</c:v>
                  </c:pt>
                </c:lvl>
                <c:lvl>
                  <c:pt idx="0">
                    <c:v>Freshmen</c:v>
                  </c:pt>
                  <c:pt idx="4">
                    <c:v>Sophomores</c:v>
                  </c:pt>
                  <c:pt idx="8">
                    <c:v>Juniors</c:v>
                  </c:pt>
                  <c:pt idx="12">
                    <c:v>Seniors</c:v>
                  </c:pt>
                  <c:pt idx="16">
                    <c:v>Overall</c:v>
                  </c:pt>
                </c:lvl>
              </c:multiLvlStrCache>
            </c:multiLvlStrRef>
          </c:cat>
          <c:val>
            <c:numRef>
              <c:f>'Scores by Grade Level DATA'!$I$22:$AA$22</c:f>
              <c:numCache>
                <c:ptCount val="19"/>
                <c:pt idx="0">
                  <c:v>0.041</c:v>
                </c:pt>
                <c:pt idx="1">
                  <c:v>0.062</c:v>
                </c:pt>
                <c:pt idx="2">
                  <c:v>0.069</c:v>
                </c:pt>
                <c:pt idx="4">
                  <c:v>0.079</c:v>
                </c:pt>
                <c:pt idx="5">
                  <c:v>0.098</c:v>
                </c:pt>
                <c:pt idx="6">
                  <c:v>0.098</c:v>
                </c:pt>
                <c:pt idx="8">
                  <c:v>0.178</c:v>
                </c:pt>
                <c:pt idx="9">
                  <c:v>0.161</c:v>
                </c:pt>
                <c:pt idx="10">
                  <c:v>0.159</c:v>
                </c:pt>
                <c:pt idx="12">
                  <c:v>0.198</c:v>
                </c:pt>
                <c:pt idx="13">
                  <c:v>0.206</c:v>
                </c:pt>
                <c:pt idx="14">
                  <c:v>0.189</c:v>
                </c:pt>
                <c:pt idx="16">
                  <c:v>0.106</c:v>
                </c:pt>
                <c:pt idx="17">
                  <c:v>0.114</c:v>
                </c:pt>
                <c:pt idx="18">
                  <c:v>0.109</c:v>
                </c:pt>
              </c:numCache>
            </c:numRef>
          </c:val>
        </c:ser>
        <c:overlap val="100"/>
        <c:gapWidth val="40"/>
        <c:axId val="21967456"/>
        <c:axId val="63489377"/>
      </c:barChart>
      <c:catAx>
        <c:axId val="21967456"/>
        <c:scaling>
          <c:orientation val="minMax"/>
        </c:scaling>
        <c:axPos val="b"/>
        <c:delete val="0"/>
        <c:numFmt formatCode="General" sourceLinked="1"/>
        <c:majorTickMark val="out"/>
        <c:minorTickMark val="none"/>
        <c:tickLblPos val="nextTo"/>
        <c:txPr>
          <a:bodyPr/>
          <a:lstStyle/>
          <a:p>
            <a:pPr>
              <a:defRPr lang="en-US" cap="none" sz="1200" b="1" i="0" u="none" baseline="0"/>
            </a:pPr>
          </a:p>
        </c:txPr>
        <c:crossAx val="63489377"/>
        <c:crosses val="autoZero"/>
        <c:auto val="1"/>
        <c:lblOffset val="100"/>
        <c:noMultiLvlLbl val="0"/>
      </c:catAx>
      <c:valAx>
        <c:axId val="63489377"/>
        <c:scaling>
          <c:orientation val="minMax"/>
        </c:scaling>
        <c:axPos val="l"/>
        <c:majorGridlines>
          <c:spPr>
            <a:ln w="3175">
              <a:solidFill/>
              <a:prstDash val="sysDot"/>
            </a:ln>
          </c:spPr>
        </c:majorGridlines>
        <c:delete val="0"/>
        <c:numFmt formatCode="General" sourceLinked="1"/>
        <c:majorTickMark val="out"/>
        <c:minorTickMark val="none"/>
        <c:tickLblPos val="nextTo"/>
        <c:crossAx val="2196745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2003 AP Students' Age &amp; Passing Rate
</a:t>
            </a:r>
            <a:r>
              <a:rPr lang="en-US" cap="none" sz="1400" b="1" i="0" u="none" baseline="0"/>
              <a:t>(Includes </a:t>
            </a:r>
            <a:r>
              <a:rPr lang="en-US" cap="none" sz="1400" b="1" i="0" u="sng" baseline="0"/>
              <a:t>All</a:t>
            </a:r>
            <a:r>
              <a:rPr lang="en-US" cap="none" sz="1400" b="1" i="0" u="none" baseline="0"/>
              <a:t> AP Subjects)</a:t>
            </a:r>
          </a:p>
        </c:rich>
      </c:tx>
      <c:layout/>
      <c:spPr>
        <a:noFill/>
        <a:ln>
          <a:noFill/>
        </a:ln>
      </c:spPr>
    </c:title>
    <c:plotArea>
      <c:layout>
        <c:manualLayout>
          <c:xMode val="edge"/>
          <c:yMode val="edge"/>
          <c:x val="0.06075"/>
          <c:y val="0.1595"/>
          <c:w val="0.90225"/>
          <c:h val="0.81125"/>
        </c:manualLayout>
      </c:layout>
      <c:barChart>
        <c:barDir val="col"/>
        <c:grouping val="clustered"/>
        <c:varyColors val="1"/>
        <c:ser>
          <c:idx val="1"/>
          <c:order val="0"/>
          <c:tx>
            <c:strRef>
              <c:f>'Scores by Grade Level DATA'!$B$39</c:f>
              <c:strCache>
                <c:ptCount val="1"/>
                <c:pt idx="0">
                  <c:v># of Exams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00FF"/>
              </a:solidFill>
            </c:spPr>
          </c:dPt>
          <c:dLbls>
            <c:dLbl>
              <c:idx val="1"/>
              <c:txPr>
                <a:bodyPr vert="horz" rot="0" anchor="ctr"/>
                <a:lstStyle/>
                <a:p>
                  <a:pPr algn="ctr">
                    <a:defRPr lang="en-US" cap="none" sz="10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pPr>
              </a:p>
            </c:txPr>
            <c:showLegendKey val="0"/>
            <c:showVal val="1"/>
            <c:showBubbleSize val="0"/>
            <c:showCatName val="0"/>
            <c:showSerName val="0"/>
            <c:showPercent val="0"/>
          </c:dLbls>
          <c:cat>
            <c:strRef>
              <c:f>'Scores by Grade Level DATA'!$A$40:$A$43</c:f>
              <c:strCache>
                <c:ptCount val="4"/>
                <c:pt idx="0">
                  <c:v>Freshmen</c:v>
                </c:pt>
                <c:pt idx="1">
                  <c:v>Sophomores</c:v>
                </c:pt>
                <c:pt idx="2">
                  <c:v>Juniors</c:v>
                </c:pt>
                <c:pt idx="3">
                  <c:v>Seniors</c:v>
                </c:pt>
              </c:strCache>
            </c:strRef>
          </c:cat>
          <c:val>
            <c:numRef>
              <c:f>'Scores by Grade Level DATA'!$B$47:$B$50</c:f>
              <c:numCache>
                <c:ptCount val="4"/>
                <c:pt idx="0">
                  <c:v>7508</c:v>
                </c:pt>
                <c:pt idx="1">
                  <c:v>122778</c:v>
                </c:pt>
                <c:pt idx="2">
                  <c:v>609618</c:v>
                </c:pt>
                <c:pt idx="3">
                  <c:v>946524</c:v>
                </c:pt>
              </c:numCache>
            </c:numRef>
          </c:val>
        </c:ser>
        <c:gapWidth val="130"/>
        <c:axId val="34533482"/>
        <c:axId val="42365883"/>
      </c:barChart>
      <c:lineChart>
        <c:grouping val="standard"/>
        <c:varyColors val="0"/>
        <c:ser>
          <c:idx val="0"/>
          <c:order val="1"/>
          <c:tx>
            <c:strRef>
              <c:f>'Scores by Grade Level DATA'!$C$39</c:f>
              <c:strCache>
                <c:ptCount val="1"/>
                <c:pt idx="0">
                  <c:v>Passing Rate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dLbl>
              <c:idx val="0"/>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numFmt formatCode="General" sourceLinked="1"/>
            <c:txPr>
              <a:bodyPr vert="horz" rot="0"/>
              <a:lstStyle/>
              <a:p>
                <a:pPr algn="ctr">
                  <a:defRPr lang="en-US" cap="none" sz="1000" b="1" i="0" u="none" baseline="0"/>
                </a:pPr>
              </a:p>
            </c:txPr>
            <c:dLblPos val="r"/>
            <c:showLegendKey val="0"/>
            <c:showVal val="1"/>
            <c:showBubbleSize val="0"/>
            <c:showCatName val="0"/>
            <c:showSerName val="0"/>
            <c:showLeaderLines val="1"/>
            <c:showPercent val="0"/>
          </c:dLbls>
          <c:cat>
            <c:strRef>
              <c:f>'Scores by Grade Level DATA'!$A$40:$A$43</c:f>
              <c:strCache>
                <c:ptCount val="4"/>
                <c:pt idx="0">
                  <c:v>Freshmen</c:v>
                </c:pt>
                <c:pt idx="1">
                  <c:v>Sophomores</c:v>
                </c:pt>
                <c:pt idx="2">
                  <c:v>Juniors</c:v>
                </c:pt>
                <c:pt idx="3">
                  <c:v>Seniors</c:v>
                </c:pt>
              </c:strCache>
            </c:strRef>
          </c:cat>
          <c:val>
            <c:numRef>
              <c:f>'Scores by Grade Level DATA'!$C$47:$C$50</c:f>
              <c:numCache>
                <c:ptCount val="4"/>
                <c:pt idx="0">
                  <c:v>0.6618</c:v>
                </c:pt>
                <c:pt idx="1">
                  <c:v>0.6374</c:v>
                </c:pt>
                <c:pt idx="2">
                  <c:v>0.6019</c:v>
                </c:pt>
                <c:pt idx="3">
                  <c:v>0.6247</c:v>
                </c:pt>
              </c:numCache>
            </c:numRef>
          </c:val>
          <c:smooth val="0"/>
        </c:ser>
        <c:axId val="45748628"/>
        <c:axId val="9084469"/>
      </c:lineChart>
      <c:catAx>
        <c:axId val="34533482"/>
        <c:scaling>
          <c:orientation val="minMax"/>
        </c:scaling>
        <c:axPos val="b"/>
        <c:delete val="0"/>
        <c:numFmt formatCode="General" sourceLinked="1"/>
        <c:majorTickMark val="in"/>
        <c:minorTickMark val="none"/>
        <c:tickLblPos val="nextTo"/>
        <c:txPr>
          <a:bodyPr/>
          <a:lstStyle/>
          <a:p>
            <a:pPr>
              <a:defRPr lang="en-US" cap="none" sz="1200" b="1" i="0" u="none" baseline="0"/>
            </a:pPr>
          </a:p>
        </c:txPr>
        <c:crossAx val="42365883"/>
        <c:crosses val="autoZero"/>
        <c:auto val="0"/>
        <c:lblOffset val="100"/>
        <c:tickLblSkip val="1"/>
        <c:noMultiLvlLbl val="0"/>
      </c:catAx>
      <c:valAx>
        <c:axId val="42365883"/>
        <c:scaling>
          <c:orientation val="minMax"/>
          <c:max val="1100000"/>
          <c:min val="0"/>
        </c:scaling>
        <c:axPos val="l"/>
        <c:title>
          <c:tx>
            <c:rich>
              <a:bodyPr vert="horz" rot="-5400000" anchor="ctr"/>
              <a:lstStyle/>
              <a:p>
                <a:pPr algn="ctr">
                  <a:defRPr/>
                </a:pPr>
                <a:r>
                  <a:rPr lang="en-US" cap="none" sz="1400" b="1" i="0" u="none" baseline="0"/>
                  <a:t>Number of Exams</a:t>
                </a:r>
              </a:p>
            </c:rich>
          </c:tx>
          <c:layout/>
          <c:overlay val="0"/>
          <c:spPr>
            <a:noFill/>
            <a:ln>
              <a:noFill/>
            </a:ln>
          </c:spPr>
        </c:title>
        <c:delete val="0"/>
        <c:numFmt formatCode="General" sourceLinked="1"/>
        <c:majorTickMark val="in"/>
        <c:minorTickMark val="none"/>
        <c:tickLblPos val="nextTo"/>
        <c:crossAx val="34533482"/>
        <c:crossesAt val="1"/>
        <c:crossBetween val="between"/>
        <c:dispUnits/>
      </c:valAx>
      <c:catAx>
        <c:axId val="45748628"/>
        <c:scaling>
          <c:orientation val="minMax"/>
        </c:scaling>
        <c:axPos val="b"/>
        <c:delete val="1"/>
        <c:majorTickMark val="in"/>
        <c:minorTickMark val="none"/>
        <c:tickLblPos val="nextTo"/>
        <c:crossAx val="9084469"/>
        <c:crossesAt val="0.57"/>
        <c:auto val="0"/>
        <c:lblOffset val="100"/>
        <c:tickLblSkip val="1"/>
        <c:noMultiLvlLbl val="0"/>
      </c:catAx>
      <c:valAx>
        <c:axId val="9084469"/>
        <c:scaling>
          <c:orientation val="minMax"/>
          <c:max val="0.9"/>
          <c:min val="0"/>
        </c:scaling>
        <c:axPos val="l"/>
        <c:title>
          <c:tx>
            <c:rich>
              <a:bodyPr vert="horz" rot="-5400000" anchor="ctr"/>
              <a:lstStyle/>
              <a:p>
                <a:pPr algn="ctr">
                  <a:defRPr/>
                </a:pPr>
                <a:r>
                  <a:rPr lang="en-US" cap="none" sz="1400" b="1" i="0" u="none" baseline="0"/>
                  <a:t>Passing Rate (Score of 3 or Higher)</a:t>
                </a:r>
              </a:p>
            </c:rich>
          </c:tx>
          <c:layout/>
          <c:overlay val="0"/>
          <c:spPr>
            <a:noFill/>
            <a:ln>
              <a:noFill/>
            </a:ln>
          </c:spPr>
        </c:title>
        <c:delete val="0"/>
        <c:numFmt formatCode="General" sourceLinked="1"/>
        <c:majorTickMark val="in"/>
        <c:minorTickMark val="none"/>
        <c:tickLblPos val="nextTo"/>
        <c:crossAx val="45748628"/>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2003 Passing Rates vs. Mean Score
</a:t>
            </a:r>
            <a:r>
              <a:rPr lang="en-US" cap="none" sz="1400" b="1" i="0" u="none" baseline="0"/>
              <a:t>(Includes </a:t>
            </a:r>
            <a:r>
              <a:rPr lang="en-US" cap="none" sz="1400" b="1" i="0" u="sng" baseline="0"/>
              <a:t>All</a:t>
            </a:r>
            <a:r>
              <a:rPr lang="en-US" cap="none" sz="1400" b="1" i="0" u="none" baseline="0"/>
              <a:t> AP Subjects)</a:t>
            </a:r>
          </a:p>
        </c:rich>
      </c:tx>
      <c:layout/>
      <c:spPr>
        <a:noFill/>
        <a:ln>
          <a:noFill/>
        </a:ln>
      </c:spPr>
    </c:title>
    <c:plotArea>
      <c:layout>
        <c:manualLayout>
          <c:xMode val="edge"/>
          <c:yMode val="edge"/>
          <c:x val="0.061"/>
          <c:y val="0.15725"/>
          <c:w val="0.90325"/>
          <c:h val="0.81925"/>
        </c:manualLayout>
      </c:layout>
      <c:barChart>
        <c:barDir val="col"/>
        <c:grouping val="clustered"/>
        <c:varyColors val="1"/>
        <c:ser>
          <c:idx val="1"/>
          <c:order val="0"/>
          <c:tx>
            <c:strRef>
              <c:f>'Scores by Grade Level DATA'!$C$39</c:f>
              <c:strCache>
                <c:ptCount val="1"/>
                <c:pt idx="0">
                  <c:v>Passing Rate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00FF"/>
              </a:solidFill>
            </c:spPr>
          </c:dPt>
          <c:dLbls>
            <c:dLbl>
              <c:idx val="1"/>
              <c:txPr>
                <a:bodyPr vert="horz" rot="0" anchor="ctr"/>
                <a:lstStyle/>
                <a:p>
                  <a:pPr algn="ctr">
                    <a:defRPr lang="en-US" cap="none" sz="10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pPr>
              </a:p>
            </c:txPr>
            <c:showLegendKey val="0"/>
            <c:showVal val="1"/>
            <c:showBubbleSize val="0"/>
            <c:showCatName val="0"/>
            <c:showSerName val="0"/>
            <c:showPercent val="0"/>
          </c:dLbls>
          <c:cat>
            <c:strRef>
              <c:f>'Scores by Grade Level DATA'!$A$40:$A$43</c:f>
              <c:strCache>
                <c:ptCount val="4"/>
                <c:pt idx="0">
                  <c:v>Freshmen</c:v>
                </c:pt>
                <c:pt idx="1">
                  <c:v>Sophomores</c:v>
                </c:pt>
                <c:pt idx="2">
                  <c:v>Juniors</c:v>
                </c:pt>
                <c:pt idx="3">
                  <c:v>Seniors</c:v>
                </c:pt>
              </c:strCache>
            </c:strRef>
          </c:cat>
          <c:val>
            <c:numRef>
              <c:f>'Scores by Grade Level DATA'!$C$47:$C$50</c:f>
              <c:numCache>
                <c:ptCount val="4"/>
                <c:pt idx="0">
                  <c:v>0.6618</c:v>
                </c:pt>
                <c:pt idx="1">
                  <c:v>0.6374</c:v>
                </c:pt>
                <c:pt idx="2">
                  <c:v>0.6019</c:v>
                </c:pt>
                <c:pt idx="3">
                  <c:v>0.6247</c:v>
                </c:pt>
              </c:numCache>
            </c:numRef>
          </c:val>
        </c:ser>
        <c:axId val="14651358"/>
        <c:axId val="64753359"/>
      </c:barChart>
      <c:lineChart>
        <c:grouping val="standard"/>
        <c:varyColors val="0"/>
        <c:ser>
          <c:idx val="0"/>
          <c:order val="1"/>
          <c:tx>
            <c:strRef>
              <c:f>'Scores by Grade Level DATA'!$D$39</c:f>
              <c:strCache>
                <c:ptCount val="1"/>
                <c:pt idx="0">
                  <c:v>Mean Score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dLbl>
              <c:idx val="0"/>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numFmt formatCode="General" sourceLinked="1"/>
            <c:txPr>
              <a:bodyPr vert="horz" rot="0"/>
              <a:lstStyle/>
              <a:p>
                <a:pPr algn="ctr">
                  <a:defRPr lang="en-US" cap="none" sz="1000" b="1" i="0" u="none" baseline="0"/>
                </a:pPr>
              </a:p>
            </c:txPr>
            <c:dLblPos val="r"/>
            <c:showLegendKey val="0"/>
            <c:showVal val="1"/>
            <c:showBubbleSize val="0"/>
            <c:showCatName val="0"/>
            <c:showSerName val="0"/>
            <c:showLeaderLines val="1"/>
            <c:showPercent val="0"/>
          </c:dLbls>
          <c:cat>
            <c:strRef>
              <c:f>'Scores by Grade Level DATA'!$A$40:$A$43</c:f>
              <c:strCache>
                <c:ptCount val="4"/>
                <c:pt idx="0">
                  <c:v>Freshmen</c:v>
                </c:pt>
                <c:pt idx="1">
                  <c:v>Sophomores</c:v>
                </c:pt>
                <c:pt idx="2">
                  <c:v>Juniors</c:v>
                </c:pt>
                <c:pt idx="3">
                  <c:v>Seniors</c:v>
                </c:pt>
              </c:strCache>
            </c:strRef>
          </c:cat>
          <c:val>
            <c:numRef>
              <c:f>'Scores by Grade Level DATA'!$D$47:$D$50</c:f>
              <c:numCache>
                <c:ptCount val="4"/>
                <c:pt idx="0">
                  <c:v>3.2</c:v>
                </c:pt>
                <c:pt idx="1">
                  <c:v>3.01</c:v>
                </c:pt>
                <c:pt idx="2">
                  <c:v>2.94</c:v>
                </c:pt>
                <c:pt idx="3">
                  <c:v>2.97</c:v>
                </c:pt>
              </c:numCache>
            </c:numRef>
          </c:val>
          <c:smooth val="0"/>
        </c:ser>
        <c:axId val="45909320"/>
        <c:axId val="10530697"/>
      </c:lineChart>
      <c:catAx>
        <c:axId val="14651358"/>
        <c:scaling>
          <c:orientation val="minMax"/>
        </c:scaling>
        <c:axPos val="b"/>
        <c:delete val="0"/>
        <c:numFmt formatCode="General" sourceLinked="1"/>
        <c:majorTickMark val="in"/>
        <c:minorTickMark val="none"/>
        <c:tickLblPos val="nextTo"/>
        <c:txPr>
          <a:bodyPr/>
          <a:lstStyle/>
          <a:p>
            <a:pPr>
              <a:defRPr lang="en-US" cap="none" sz="1200" b="1" i="0" u="none" baseline="0"/>
            </a:pPr>
          </a:p>
        </c:txPr>
        <c:crossAx val="64753359"/>
        <c:crosses val="autoZero"/>
        <c:auto val="0"/>
        <c:lblOffset val="100"/>
        <c:tickLblSkip val="1"/>
        <c:noMultiLvlLbl val="0"/>
      </c:catAx>
      <c:valAx>
        <c:axId val="64753359"/>
        <c:scaling>
          <c:orientation val="minMax"/>
          <c:max val="0.68"/>
          <c:min val="0.4"/>
        </c:scaling>
        <c:axPos val="l"/>
        <c:title>
          <c:tx>
            <c:rich>
              <a:bodyPr vert="horz" rot="-5400000" anchor="ctr"/>
              <a:lstStyle/>
              <a:p>
                <a:pPr algn="ctr">
                  <a:defRPr/>
                </a:pPr>
                <a:r>
                  <a:rPr lang="en-US" cap="none" sz="1400" b="1" i="0" u="none" baseline="0"/>
                  <a:t>Passing Rate (Score of 3 or Higher)</a:t>
                </a:r>
              </a:p>
            </c:rich>
          </c:tx>
          <c:layout/>
          <c:overlay val="0"/>
          <c:spPr>
            <a:noFill/>
            <a:ln>
              <a:noFill/>
            </a:ln>
          </c:spPr>
        </c:title>
        <c:delete val="0"/>
        <c:numFmt formatCode="General" sourceLinked="1"/>
        <c:majorTickMark val="in"/>
        <c:minorTickMark val="none"/>
        <c:tickLblPos val="nextTo"/>
        <c:crossAx val="14651358"/>
        <c:crossesAt val="1"/>
        <c:crossBetween val="between"/>
        <c:dispUnits/>
      </c:valAx>
      <c:catAx>
        <c:axId val="45909320"/>
        <c:scaling>
          <c:orientation val="minMax"/>
        </c:scaling>
        <c:axPos val="b"/>
        <c:delete val="1"/>
        <c:majorTickMark val="in"/>
        <c:minorTickMark val="none"/>
        <c:tickLblPos val="nextTo"/>
        <c:crossAx val="10530697"/>
        <c:crosses val="autoZero"/>
        <c:auto val="0"/>
        <c:lblOffset val="100"/>
        <c:tickLblSkip val="1"/>
        <c:noMultiLvlLbl val="0"/>
      </c:catAx>
      <c:valAx>
        <c:axId val="10530697"/>
        <c:scaling>
          <c:orientation val="minMax"/>
          <c:max val="3.5"/>
          <c:min val="2"/>
        </c:scaling>
        <c:axPos val="l"/>
        <c:title>
          <c:tx>
            <c:rich>
              <a:bodyPr vert="horz" rot="-5400000" anchor="ctr"/>
              <a:lstStyle/>
              <a:p>
                <a:pPr algn="ctr">
                  <a:defRPr/>
                </a:pPr>
                <a:r>
                  <a:rPr lang="en-US" cap="none" sz="1400" b="1" i="0" u="none" baseline="0"/>
                  <a:t>Mean Score</a:t>
                </a:r>
              </a:p>
            </c:rich>
          </c:tx>
          <c:layout/>
          <c:overlay val="0"/>
          <c:spPr>
            <a:noFill/>
            <a:ln>
              <a:noFill/>
            </a:ln>
          </c:spPr>
        </c:title>
        <c:delete val="0"/>
        <c:numFmt formatCode="General" sourceLinked="1"/>
        <c:majorTickMark val="in"/>
        <c:minorTickMark val="none"/>
        <c:tickLblPos val="nextTo"/>
        <c:crossAx val="45909320"/>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2002 Combination of APWH Multiple Choice &amp; Essay Scores</a:t>
            </a:r>
            <a:r>
              <a:rPr lang="en-US" cap="none" sz="1800" b="0" i="0" u="none" baseline="0"/>
              <a:t>
</a:t>
            </a:r>
            <a:r>
              <a:rPr lang="en-US" cap="none" sz="1100" b="0" i="0" u="none" baseline="0"/>
              <a:t>"If I get x% right on the multiple choice section, what essay scores would I need to get a 5? a 4?"</a:t>
            </a:r>
          </a:p>
        </c:rich>
      </c:tx>
      <c:layout>
        <c:manualLayout>
          <c:xMode val="factor"/>
          <c:yMode val="factor"/>
          <c:x val="0.06575"/>
          <c:y val="-0.00375"/>
        </c:manualLayout>
      </c:layout>
      <c:spPr>
        <a:noFill/>
        <a:ln>
          <a:noFill/>
        </a:ln>
      </c:spPr>
    </c:title>
    <c:plotArea>
      <c:layout>
        <c:manualLayout>
          <c:xMode val="edge"/>
          <c:yMode val="edge"/>
          <c:x val="0.07425"/>
          <c:y val="0.17475"/>
          <c:w val="0.9135"/>
          <c:h val="0.74525"/>
        </c:manualLayout>
      </c:layout>
      <c:lineChart>
        <c:grouping val="standard"/>
        <c:varyColors val="0"/>
        <c:ser>
          <c:idx val="4"/>
          <c:order val="0"/>
          <c:tx>
            <c:v>Needed for 2</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'2002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'2002 Score Comb DATA'!$N$2:$N$72</c:f>
              <c:numCache>
                <c:ptCount val="71"/>
                <c:pt idx="0">
                  <c:v>12.150121501215013</c:v>
                </c:pt>
                <c:pt idx="1">
                  <c:v>12.150121501215013</c:v>
                </c:pt>
                <c:pt idx="2">
                  <c:v>12.150121501215013</c:v>
                </c:pt>
                <c:pt idx="3">
                  <c:v>12.150121501215013</c:v>
                </c:pt>
                <c:pt idx="4">
                  <c:v>12.150121501215013</c:v>
                </c:pt>
                <c:pt idx="5">
                  <c:v>12.150121501215013</c:v>
                </c:pt>
                <c:pt idx="6">
                  <c:v>12.150121501215013</c:v>
                </c:pt>
                <c:pt idx="7">
                  <c:v>12.150121501215013</c:v>
                </c:pt>
                <c:pt idx="8">
                  <c:v>12.150121501215013</c:v>
                </c:pt>
                <c:pt idx="9">
                  <c:v>12.150121501215013</c:v>
                </c:pt>
                <c:pt idx="10">
                  <c:v>12.150121501215013</c:v>
                </c:pt>
                <c:pt idx="11">
                  <c:v>12.150121501215013</c:v>
                </c:pt>
                <c:pt idx="12">
                  <c:v>12.150121501215013</c:v>
                </c:pt>
                <c:pt idx="13">
                  <c:v>12.150121501215013</c:v>
                </c:pt>
                <c:pt idx="14">
                  <c:v>12.150121501215013</c:v>
                </c:pt>
                <c:pt idx="15">
                  <c:v>11.667973822595368</c:v>
                </c:pt>
                <c:pt idx="16">
                  <c:v>11.185826143975726</c:v>
                </c:pt>
                <c:pt idx="17">
                  <c:v>10.703678465356083</c:v>
                </c:pt>
                <c:pt idx="18">
                  <c:v>10.221530786736439</c:v>
                </c:pt>
                <c:pt idx="19">
                  <c:v>9.739383108116796</c:v>
                </c:pt>
                <c:pt idx="20">
                  <c:v>9.257235429497152</c:v>
                </c:pt>
                <c:pt idx="21">
                  <c:v>8.775087750877509</c:v>
                </c:pt>
                <c:pt idx="22">
                  <c:v>8.292940072257867</c:v>
                </c:pt>
                <c:pt idx="23">
                  <c:v>7.810792393638223</c:v>
                </c:pt>
                <c:pt idx="24">
                  <c:v>7.328644715018578</c:v>
                </c:pt>
                <c:pt idx="25">
                  <c:v>6.846497036398936</c:v>
                </c:pt>
                <c:pt idx="26">
                  <c:v>6.364349357779293</c:v>
                </c:pt>
                <c:pt idx="27">
                  <c:v>5.88220167915965</c:v>
                </c:pt>
                <c:pt idx="28">
                  <c:v>5.400054000540005</c:v>
                </c:pt>
                <c:pt idx="29">
                  <c:v>4.917906321920363</c:v>
                </c:pt>
                <c:pt idx="30">
                  <c:v>4.435758643300719</c:v>
                </c:pt>
                <c:pt idx="31">
                  <c:v>3.9536109646810766</c:v>
                </c:pt>
                <c:pt idx="32">
                  <c:v>3.4714632860614327</c:v>
                </c:pt>
                <c:pt idx="33">
                  <c:v>2.9893156074417884</c:v>
                </c:pt>
                <c:pt idx="34">
                  <c:v>2.5071679288221462</c:v>
                </c:pt>
                <c:pt idx="35">
                  <c:v>2.025020250202502</c:v>
                </c:pt>
                <c:pt idx="36">
                  <c:v>1.5428725715828597</c:v>
                </c:pt>
                <c:pt idx="37">
                  <c:v>1.0607248929632156</c:v>
                </c:pt>
                <c:pt idx="38">
                  <c:v>0.5785772143435731</c:v>
                </c:pt>
                <c:pt idx="39">
                  <c:v>0.09642953572392912</c:v>
                </c:pt>
                <c:pt idx="40">
                  <c:v>-0.3857181428957133</c:v>
                </c:pt>
                <c:pt idx="41">
                  <c:v>-0.8678658215153573</c:v>
                </c:pt>
                <c:pt idx="42">
                  <c:v>-1.3500135001350013</c:v>
                </c:pt>
                <c:pt idx="43">
                  <c:v>-1.832161178754644</c:v>
                </c:pt>
                <c:pt idx="44">
                  <c:v>-2.3143088573742863</c:v>
                </c:pt>
                <c:pt idx="45">
                  <c:v>-2.796456535993932</c:v>
                </c:pt>
                <c:pt idx="46">
                  <c:v>-3.2786042146135745</c:v>
                </c:pt>
                <c:pt idx="47">
                  <c:v>-3.7607518932332167</c:v>
                </c:pt>
                <c:pt idx="48">
                  <c:v>-4.242899571852859</c:v>
                </c:pt>
                <c:pt idx="49">
                  <c:v>-4.725047250472505</c:v>
                </c:pt>
                <c:pt idx="50">
                  <c:v>-5.2071949290921475</c:v>
                </c:pt>
                <c:pt idx="51">
                  <c:v>-5.68934260771179</c:v>
                </c:pt>
                <c:pt idx="52">
                  <c:v>-6.171490286331435</c:v>
                </c:pt>
                <c:pt idx="53">
                  <c:v>-6.653637964951078</c:v>
                </c:pt>
                <c:pt idx="54">
                  <c:v>-7.1357856435707205</c:v>
                </c:pt>
                <c:pt idx="55">
                  <c:v>-7.617933322190362</c:v>
                </c:pt>
                <c:pt idx="56">
                  <c:v>-8.100081000810007</c:v>
                </c:pt>
                <c:pt idx="57">
                  <c:v>-8.582228679429651</c:v>
                </c:pt>
                <c:pt idx="58">
                  <c:v>-9.064376358049293</c:v>
                </c:pt>
                <c:pt idx="59">
                  <c:v>-9.546524036668936</c:v>
                </c:pt>
                <c:pt idx="60">
                  <c:v>-10.028671715288581</c:v>
                </c:pt>
                <c:pt idx="61">
                  <c:v>-10.510819393908223</c:v>
                </c:pt>
                <c:pt idx="62">
                  <c:v>-10.992967072527867</c:v>
                </c:pt>
                <c:pt idx="63">
                  <c:v>-11.475114751147512</c:v>
                </c:pt>
                <c:pt idx="64">
                  <c:v>-11.957262429767153</c:v>
                </c:pt>
                <c:pt idx="65">
                  <c:v>-12.439410108386797</c:v>
                </c:pt>
                <c:pt idx="66">
                  <c:v>-12.921557787006439</c:v>
                </c:pt>
                <c:pt idx="67">
                  <c:v>-13.403705465626084</c:v>
                </c:pt>
                <c:pt idx="68">
                  <c:v>-13.885853144245727</c:v>
                </c:pt>
                <c:pt idx="69">
                  <c:v>-14.368000822865369</c:v>
                </c:pt>
                <c:pt idx="70">
                  <c:v>-14.850148501485014</c:v>
                </c:pt>
              </c:numCache>
            </c:numRef>
          </c:val>
          <c:smooth val="0"/>
        </c:ser>
        <c:ser>
          <c:idx val="5"/>
          <c:order val="1"/>
          <c:tx>
            <c:v>Needed for 3</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'2002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'2002 Score Comb DATA'!$O$2:$O$72</c:f>
              <c:numCache>
                <c:ptCount val="71"/>
                <c:pt idx="0">
                  <c:v>19.35019350193502</c:v>
                </c:pt>
                <c:pt idx="1">
                  <c:v>19.35019350193502</c:v>
                </c:pt>
                <c:pt idx="2">
                  <c:v>19.35019350193502</c:v>
                </c:pt>
                <c:pt idx="3">
                  <c:v>19.35019350193502</c:v>
                </c:pt>
                <c:pt idx="4">
                  <c:v>19.35019350193502</c:v>
                </c:pt>
                <c:pt idx="5">
                  <c:v>19.35019350193502</c:v>
                </c:pt>
                <c:pt idx="6">
                  <c:v>19.35019350193502</c:v>
                </c:pt>
                <c:pt idx="7">
                  <c:v>19.35019350193502</c:v>
                </c:pt>
                <c:pt idx="8">
                  <c:v>19.35019350193502</c:v>
                </c:pt>
                <c:pt idx="9">
                  <c:v>19.35019350193502</c:v>
                </c:pt>
                <c:pt idx="10">
                  <c:v>19.35019350193502</c:v>
                </c:pt>
                <c:pt idx="11">
                  <c:v>19.35019350193502</c:v>
                </c:pt>
                <c:pt idx="12">
                  <c:v>19.35019350193502</c:v>
                </c:pt>
                <c:pt idx="13">
                  <c:v>19.35019350193502</c:v>
                </c:pt>
                <c:pt idx="14">
                  <c:v>19.35019350193502</c:v>
                </c:pt>
                <c:pt idx="15">
                  <c:v>18.868045823315377</c:v>
                </c:pt>
                <c:pt idx="16">
                  <c:v>18.38589814469573</c:v>
                </c:pt>
                <c:pt idx="17">
                  <c:v>17.90375046607609</c:v>
                </c:pt>
                <c:pt idx="18">
                  <c:v>17.421602787456447</c:v>
                </c:pt>
                <c:pt idx="19">
                  <c:v>16.939455108836803</c:v>
                </c:pt>
                <c:pt idx="20">
                  <c:v>16.45730743021716</c:v>
                </c:pt>
                <c:pt idx="21">
                  <c:v>15.975159751597516</c:v>
                </c:pt>
                <c:pt idx="22">
                  <c:v>15.493012072977875</c:v>
                </c:pt>
                <c:pt idx="23">
                  <c:v>15.010864394358231</c:v>
                </c:pt>
                <c:pt idx="24">
                  <c:v>14.528716715738586</c:v>
                </c:pt>
                <c:pt idx="25">
                  <c:v>14.046569037118944</c:v>
                </c:pt>
                <c:pt idx="26">
                  <c:v>13.5644213584993</c:v>
                </c:pt>
                <c:pt idx="27">
                  <c:v>13.082273679879657</c:v>
                </c:pt>
                <c:pt idx="28">
                  <c:v>12.600126001260012</c:v>
                </c:pt>
                <c:pt idx="29">
                  <c:v>12.11797832264037</c:v>
                </c:pt>
                <c:pt idx="30">
                  <c:v>11.635830644020727</c:v>
                </c:pt>
                <c:pt idx="31">
                  <c:v>11.153682965401083</c:v>
                </c:pt>
                <c:pt idx="32">
                  <c:v>10.67153528678144</c:v>
                </c:pt>
                <c:pt idx="33">
                  <c:v>10.189387608161796</c:v>
                </c:pt>
                <c:pt idx="34">
                  <c:v>9.707239929542153</c:v>
                </c:pt>
                <c:pt idx="35">
                  <c:v>9.22509225092251</c:v>
                </c:pt>
                <c:pt idx="36">
                  <c:v>8.742944572302868</c:v>
                </c:pt>
                <c:pt idx="37">
                  <c:v>8.260796893683223</c:v>
                </c:pt>
                <c:pt idx="38">
                  <c:v>7.778649215063581</c:v>
                </c:pt>
                <c:pt idx="39">
                  <c:v>7.2965015364439365</c:v>
                </c:pt>
                <c:pt idx="40">
                  <c:v>6.814353857824294</c:v>
                </c:pt>
                <c:pt idx="41">
                  <c:v>6.33220617920465</c:v>
                </c:pt>
                <c:pt idx="42">
                  <c:v>5.850058500585006</c:v>
                </c:pt>
                <c:pt idx="43">
                  <c:v>5.3679108219653635</c:v>
                </c:pt>
                <c:pt idx="44">
                  <c:v>4.885763143345721</c:v>
                </c:pt>
                <c:pt idx="45">
                  <c:v>4.403615464726076</c:v>
                </c:pt>
                <c:pt idx="46">
                  <c:v>3.921467786106433</c:v>
                </c:pt>
                <c:pt idx="47">
                  <c:v>3.4393201074867905</c:v>
                </c:pt>
                <c:pt idx="48">
                  <c:v>2.9571724288671484</c:v>
                </c:pt>
                <c:pt idx="49">
                  <c:v>2.4750247502475027</c:v>
                </c:pt>
                <c:pt idx="50">
                  <c:v>1.99287707162786</c:v>
                </c:pt>
                <c:pt idx="51">
                  <c:v>1.5107293930082177</c:v>
                </c:pt>
                <c:pt idx="52">
                  <c:v>1.028581714388572</c:v>
                </c:pt>
                <c:pt idx="53">
                  <c:v>0.5464340357689296</c:v>
                </c:pt>
                <c:pt idx="54">
                  <c:v>0.06428635714928715</c:v>
                </c:pt>
                <c:pt idx="55">
                  <c:v>-0.41786132147035526</c:v>
                </c:pt>
                <c:pt idx="56">
                  <c:v>-0.900009000090001</c:v>
                </c:pt>
                <c:pt idx="57">
                  <c:v>-1.3821566787096433</c:v>
                </c:pt>
                <c:pt idx="58">
                  <c:v>-1.864304357329286</c:v>
                </c:pt>
                <c:pt idx="59">
                  <c:v>-2.346452035948928</c:v>
                </c:pt>
                <c:pt idx="60">
                  <c:v>-2.8285997145685737</c:v>
                </c:pt>
                <c:pt idx="61">
                  <c:v>-3.3107473931882163</c:v>
                </c:pt>
                <c:pt idx="62">
                  <c:v>-3.792895071807859</c:v>
                </c:pt>
                <c:pt idx="63">
                  <c:v>-4.275042750427504</c:v>
                </c:pt>
                <c:pt idx="64">
                  <c:v>-4.757190429047147</c:v>
                </c:pt>
                <c:pt idx="65">
                  <c:v>-5.239338107666789</c:v>
                </c:pt>
                <c:pt idx="66">
                  <c:v>-5.721485786286432</c:v>
                </c:pt>
                <c:pt idx="67">
                  <c:v>-6.203633464906077</c:v>
                </c:pt>
                <c:pt idx="68">
                  <c:v>-6.68578114352572</c:v>
                </c:pt>
                <c:pt idx="69">
                  <c:v>-7.167928822145362</c:v>
                </c:pt>
                <c:pt idx="70">
                  <c:v>-7.650076500765008</c:v>
                </c:pt>
              </c:numCache>
            </c:numRef>
          </c:val>
          <c:smooth val="0"/>
        </c:ser>
        <c:ser>
          <c:idx val="6"/>
          <c:order val="2"/>
          <c:tx>
            <c:v>Needed for 4</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'2002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'2002 Score Comb DATA'!$P$2:$P$72</c:f>
              <c:numCache>
                <c:ptCount val="71"/>
                <c:pt idx="0">
                  <c:v>27.90027900279003</c:v>
                </c:pt>
                <c:pt idx="1">
                  <c:v>27.90027900279003</c:v>
                </c:pt>
                <c:pt idx="2">
                  <c:v>27.90027900279003</c:v>
                </c:pt>
                <c:pt idx="3">
                  <c:v>27.90027900279003</c:v>
                </c:pt>
                <c:pt idx="4">
                  <c:v>27.90027900279003</c:v>
                </c:pt>
                <c:pt idx="5">
                  <c:v>27.90027900279003</c:v>
                </c:pt>
                <c:pt idx="6">
                  <c:v>27.90027900279003</c:v>
                </c:pt>
                <c:pt idx="7">
                  <c:v>27.90027900279003</c:v>
                </c:pt>
                <c:pt idx="8">
                  <c:v>27.90027900279003</c:v>
                </c:pt>
                <c:pt idx="9">
                  <c:v>27.90027900279003</c:v>
                </c:pt>
                <c:pt idx="10">
                  <c:v>27.90027900279003</c:v>
                </c:pt>
                <c:pt idx="11">
                  <c:v>27.90027900279003</c:v>
                </c:pt>
                <c:pt idx="12">
                  <c:v>27.90027900279003</c:v>
                </c:pt>
                <c:pt idx="13">
                  <c:v>27.90027900279003</c:v>
                </c:pt>
                <c:pt idx="14">
                  <c:v>27.90027900279003</c:v>
                </c:pt>
                <c:pt idx="15">
                  <c:v>27.418131324170385</c:v>
                </c:pt>
                <c:pt idx="16">
                  <c:v>26.935983645550742</c:v>
                </c:pt>
                <c:pt idx="17">
                  <c:v>26.4538359669311</c:v>
                </c:pt>
                <c:pt idx="18">
                  <c:v>25.971688288311455</c:v>
                </c:pt>
                <c:pt idx="19">
                  <c:v>25.48954060969181</c:v>
                </c:pt>
                <c:pt idx="20">
                  <c:v>25.007392931072168</c:v>
                </c:pt>
                <c:pt idx="21">
                  <c:v>24.525245252452525</c:v>
                </c:pt>
                <c:pt idx="22">
                  <c:v>24.04309757383288</c:v>
                </c:pt>
                <c:pt idx="23">
                  <c:v>23.56094989521324</c:v>
                </c:pt>
                <c:pt idx="24">
                  <c:v>23.078802216593594</c:v>
                </c:pt>
                <c:pt idx="25">
                  <c:v>22.59665453797395</c:v>
                </c:pt>
                <c:pt idx="26">
                  <c:v>22.11450685935431</c:v>
                </c:pt>
                <c:pt idx="27">
                  <c:v>21.632359180734664</c:v>
                </c:pt>
                <c:pt idx="28">
                  <c:v>21.15021150211502</c:v>
                </c:pt>
                <c:pt idx="29">
                  <c:v>20.66806382349538</c:v>
                </c:pt>
                <c:pt idx="30">
                  <c:v>20.185916144875737</c:v>
                </c:pt>
                <c:pt idx="31">
                  <c:v>19.703768466256093</c:v>
                </c:pt>
                <c:pt idx="32">
                  <c:v>19.22162078763645</c:v>
                </c:pt>
                <c:pt idx="33">
                  <c:v>18.739473109016803</c:v>
                </c:pt>
                <c:pt idx="34">
                  <c:v>18.25732543039716</c:v>
                </c:pt>
                <c:pt idx="35">
                  <c:v>17.77517775177752</c:v>
                </c:pt>
                <c:pt idx="36">
                  <c:v>17.293030073157876</c:v>
                </c:pt>
                <c:pt idx="37">
                  <c:v>16.810882394538233</c:v>
                </c:pt>
                <c:pt idx="38">
                  <c:v>16.32873471591859</c:v>
                </c:pt>
                <c:pt idx="39">
                  <c:v>15.846587037298946</c:v>
                </c:pt>
                <c:pt idx="40">
                  <c:v>15.364439358679302</c:v>
                </c:pt>
                <c:pt idx="41">
                  <c:v>14.882291680059657</c:v>
                </c:pt>
                <c:pt idx="42">
                  <c:v>14.400144001440015</c:v>
                </c:pt>
                <c:pt idx="43">
                  <c:v>13.917996322820372</c:v>
                </c:pt>
                <c:pt idx="44">
                  <c:v>13.43584864420073</c:v>
                </c:pt>
                <c:pt idx="45">
                  <c:v>12.953700965581085</c:v>
                </c:pt>
                <c:pt idx="46">
                  <c:v>12.471553286961441</c:v>
                </c:pt>
                <c:pt idx="47">
                  <c:v>11.9894056083418</c:v>
                </c:pt>
                <c:pt idx="48">
                  <c:v>11.507257929722156</c:v>
                </c:pt>
                <c:pt idx="49">
                  <c:v>11.025110251102511</c:v>
                </c:pt>
                <c:pt idx="50">
                  <c:v>10.54296257248287</c:v>
                </c:pt>
                <c:pt idx="51">
                  <c:v>10.060814893863226</c:v>
                </c:pt>
                <c:pt idx="52">
                  <c:v>9.57866721524358</c:v>
                </c:pt>
                <c:pt idx="53">
                  <c:v>9.096519536623939</c:v>
                </c:pt>
                <c:pt idx="54">
                  <c:v>8.614371858004295</c:v>
                </c:pt>
                <c:pt idx="55">
                  <c:v>8.132224179384654</c:v>
                </c:pt>
                <c:pt idx="56">
                  <c:v>7.650076500765008</c:v>
                </c:pt>
                <c:pt idx="57">
                  <c:v>7.167928822145365</c:v>
                </c:pt>
                <c:pt idx="58">
                  <c:v>6.685781143525723</c:v>
                </c:pt>
                <c:pt idx="59">
                  <c:v>6.203633464906081</c:v>
                </c:pt>
                <c:pt idx="60">
                  <c:v>5.721485786286435</c:v>
                </c:pt>
                <c:pt idx="61">
                  <c:v>5.239338107666793</c:v>
                </c:pt>
                <c:pt idx="62">
                  <c:v>4.75719042904715</c:v>
                </c:pt>
                <c:pt idx="63">
                  <c:v>4.275042750427504</c:v>
                </c:pt>
                <c:pt idx="64">
                  <c:v>3.792895071807862</c:v>
                </c:pt>
                <c:pt idx="65">
                  <c:v>3.3107473931882194</c:v>
                </c:pt>
                <c:pt idx="66">
                  <c:v>2.828599714568577</c:v>
                </c:pt>
                <c:pt idx="67">
                  <c:v>2.3464520359489316</c:v>
                </c:pt>
                <c:pt idx="68">
                  <c:v>1.864304357329289</c:v>
                </c:pt>
                <c:pt idx="69">
                  <c:v>1.3821566787096466</c:v>
                </c:pt>
                <c:pt idx="70">
                  <c:v>0.900009000090001</c:v>
                </c:pt>
              </c:numCache>
            </c:numRef>
          </c:val>
          <c:smooth val="0"/>
        </c:ser>
        <c:ser>
          <c:idx val="7"/>
          <c:order val="3"/>
          <c:tx>
            <c:v>Needed for 5</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'2002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'2002 Score Comb DATA'!$Q$2:$Q$72</c:f>
              <c:numCache>
                <c:ptCount val="71"/>
                <c:pt idx="0">
                  <c:v>35.100351003510035</c:v>
                </c:pt>
                <c:pt idx="1">
                  <c:v>35.100351003510035</c:v>
                </c:pt>
                <c:pt idx="2">
                  <c:v>35.100351003510035</c:v>
                </c:pt>
                <c:pt idx="3">
                  <c:v>35.100351003510035</c:v>
                </c:pt>
                <c:pt idx="4">
                  <c:v>35.100351003510035</c:v>
                </c:pt>
                <c:pt idx="5">
                  <c:v>35.100351003510035</c:v>
                </c:pt>
                <c:pt idx="6">
                  <c:v>35.100351003510035</c:v>
                </c:pt>
                <c:pt idx="7">
                  <c:v>35.100351003510035</c:v>
                </c:pt>
                <c:pt idx="8">
                  <c:v>35.100351003510035</c:v>
                </c:pt>
                <c:pt idx="9">
                  <c:v>35.100351003510035</c:v>
                </c:pt>
                <c:pt idx="10">
                  <c:v>35.100351003510035</c:v>
                </c:pt>
                <c:pt idx="11">
                  <c:v>35.100351003510035</c:v>
                </c:pt>
                <c:pt idx="12">
                  <c:v>35.100351003510035</c:v>
                </c:pt>
                <c:pt idx="13">
                  <c:v>35.100351003510035</c:v>
                </c:pt>
                <c:pt idx="14">
                  <c:v>35.100351003510035</c:v>
                </c:pt>
                <c:pt idx="15">
                  <c:v>34.618203324890395</c:v>
                </c:pt>
                <c:pt idx="16">
                  <c:v>34.13605564627075</c:v>
                </c:pt>
                <c:pt idx="17">
                  <c:v>33.65390796765111</c:v>
                </c:pt>
                <c:pt idx="18">
                  <c:v>33.17176028903146</c:v>
                </c:pt>
                <c:pt idx="19">
                  <c:v>32.689612610411814</c:v>
                </c:pt>
                <c:pt idx="20">
                  <c:v>32.207464931792174</c:v>
                </c:pt>
                <c:pt idx="21">
                  <c:v>31.725317253172534</c:v>
                </c:pt>
                <c:pt idx="22">
                  <c:v>31.24316957455289</c:v>
                </c:pt>
                <c:pt idx="23">
                  <c:v>30.761021895933247</c:v>
                </c:pt>
                <c:pt idx="24">
                  <c:v>30.278874217313604</c:v>
                </c:pt>
                <c:pt idx="25">
                  <c:v>29.796726538693964</c:v>
                </c:pt>
                <c:pt idx="26">
                  <c:v>29.314578860074313</c:v>
                </c:pt>
                <c:pt idx="27">
                  <c:v>28.83243118145467</c:v>
                </c:pt>
                <c:pt idx="28">
                  <c:v>28.35028350283503</c:v>
                </c:pt>
                <c:pt idx="29">
                  <c:v>27.868135824215386</c:v>
                </c:pt>
                <c:pt idx="30">
                  <c:v>27.385988145595743</c:v>
                </c:pt>
                <c:pt idx="31">
                  <c:v>26.903840466976103</c:v>
                </c:pt>
                <c:pt idx="32">
                  <c:v>26.421692788356456</c:v>
                </c:pt>
                <c:pt idx="33">
                  <c:v>25.93954510973681</c:v>
                </c:pt>
                <c:pt idx="34">
                  <c:v>25.45739743111717</c:v>
                </c:pt>
                <c:pt idx="35">
                  <c:v>24.975249752497525</c:v>
                </c:pt>
                <c:pt idx="36">
                  <c:v>24.493102073877882</c:v>
                </c:pt>
                <c:pt idx="37">
                  <c:v>24.010954395258242</c:v>
                </c:pt>
                <c:pt idx="38">
                  <c:v>23.5288067166386</c:v>
                </c:pt>
                <c:pt idx="39">
                  <c:v>23.04665903801895</c:v>
                </c:pt>
                <c:pt idx="40">
                  <c:v>22.56451135939931</c:v>
                </c:pt>
                <c:pt idx="41">
                  <c:v>22.082363680779665</c:v>
                </c:pt>
                <c:pt idx="42">
                  <c:v>21.60021600216002</c:v>
                </c:pt>
                <c:pt idx="43">
                  <c:v>21.11806832354038</c:v>
                </c:pt>
                <c:pt idx="44">
                  <c:v>20.635920644920738</c:v>
                </c:pt>
                <c:pt idx="45">
                  <c:v>20.15377296630109</c:v>
                </c:pt>
                <c:pt idx="46">
                  <c:v>19.67162528768145</c:v>
                </c:pt>
                <c:pt idx="47">
                  <c:v>19.189477609061807</c:v>
                </c:pt>
                <c:pt idx="48">
                  <c:v>18.707329930442164</c:v>
                </c:pt>
                <c:pt idx="49">
                  <c:v>18.22518225182252</c:v>
                </c:pt>
                <c:pt idx="50">
                  <c:v>17.743034573202877</c:v>
                </c:pt>
                <c:pt idx="51">
                  <c:v>17.260886894583233</c:v>
                </c:pt>
                <c:pt idx="52">
                  <c:v>16.778739215963586</c:v>
                </c:pt>
                <c:pt idx="53">
                  <c:v>16.296591537343946</c:v>
                </c:pt>
                <c:pt idx="54">
                  <c:v>15.814443858724303</c:v>
                </c:pt>
                <c:pt idx="55">
                  <c:v>15.332296180104661</c:v>
                </c:pt>
                <c:pt idx="56">
                  <c:v>14.850148501485014</c:v>
                </c:pt>
                <c:pt idx="57">
                  <c:v>14.368000822865373</c:v>
                </c:pt>
                <c:pt idx="58">
                  <c:v>13.885853144245731</c:v>
                </c:pt>
                <c:pt idx="59">
                  <c:v>13.403705465626087</c:v>
                </c:pt>
                <c:pt idx="60">
                  <c:v>12.921557787006442</c:v>
                </c:pt>
                <c:pt idx="61">
                  <c:v>12.4394101083868</c:v>
                </c:pt>
                <c:pt idx="62">
                  <c:v>11.957262429767157</c:v>
                </c:pt>
                <c:pt idx="63">
                  <c:v>11.475114751147512</c:v>
                </c:pt>
                <c:pt idx="64">
                  <c:v>10.99296707252787</c:v>
                </c:pt>
                <c:pt idx="65">
                  <c:v>10.510819393908227</c:v>
                </c:pt>
                <c:pt idx="66">
                  <c:v>10.028671715288585</c:v>
                </c:pt>
                <c:pt idx="67">
                  <c:v>9.546524036668938</c:v>
                </c:pt>
                <c:pt idx="68">
                  <c:v>9.064376358049296</c:v>
                </c:pt>
                <c:pt idx="69">
                  <c:v>8.582228679429655</c:v>
                </c:pt>
                <c:pt idx="70">
                  <c:v>8.100081000810007</c:v>
                </c:pt>
              </c:numCache>
            </c:numRef>
          </c:val>
          <c:smooth val="0"/>
        </c:ser>
        <c:axId val="27667410"/>
        <c:axId val="47680099"/>
      </c:lineChart>
      <c:catAx>
        <c:axId val="27667410"/>
        <c:scaling>
          <c:orientation val="minMax"/>
        </c:scaling>
        <c:axPos val="b"/>
        <c:title>
          <c:tx>
            <c:rich>
              <a:bodyPr vert="horz" rot="0" anchor="ctr"/>
              <a:lstStyle/>
              <a:p>
                <a:pPr algn="ctr">
                  <a:defRPr/>
                </a:pPr>
                <a:r>
                  <a:rPr lang="en-US" cap="none" sz="1400" b="1" i="0" u="none" baseline="0"/>
                  <a:t>% of Multiple Choice Questions Answered Correctly
</a:t>
                </a:r>
                <a:r>
                  <a:rPr lang="en-US" cap="none" sz="1200" b="1" i="0" u="none" baseline="0"/>
                  <a:t>(Assumes no skipped questions)</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pPr>
          </a:p>
        </c:txPr>
        <c:crossAx val="47680099"/>
        <c:crosses val="autoZero"/>
        <c:auto val="1"/>
        <c:lblOffset val="100"/>
        <c:tickLblSkip val="3"/>
        <c:noMultiLvlLbl val="0"/>
      </c:catAx>
      <c:valAx>
        <c:axId val="47680099"/>
        <c:scaling>
          <c:orientation val="minMax"/>
          <c:max val="27"/>
          <c:min val="0"/>
        </c:scaling>
        <c:axPos val="l"/>
        <c:title>
          <c:tx>
            <c:rich>
              <a:bodyPr vert="horz" rot="-5400000" anchor="ctr"/>
              <a:lstStyle/>
              <a:p>
                <a:pPr algn="ctr">
                  <a:defRPr/>
                </a:pPr>
                <a:r>
                  <a:rPr lang="en-US" cap="none" sz="1400" b="1" i="0" u="none" baseline="0"/>
                  <a:t>Combined Essay Scores
(DBQ + CCOT + Comparative)</a:t>
                </a:r>
              </a:p>
            </c:rich>
          </c:tx>
          <c:layout/>
          <c:overlay val="0"/>
          <c:spPr>
            <a:noFill/>
            <a:ln>
              <a:noFill/>
            </a:ln>
          </c:spPr>
        </c:title>
        <c:delete val="0"/>
        <c:numFmt formatCode="0" sourceLinked="0"/>
        <c:majorTickMark val="out"/>
        <c:minorTickMark val="none"/>
        <c:tickLblPos val="nextTo"/>
        <c:crossAx val="27667410"/>
        <c:crossesAt val="1"/>
        <c:crossBetween val="between"/>
        <c:dispUnits/>
        <c:majorUnit val="3"/>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Why Take AP?</a:t>
            </a:r>
          </a:p>
        </c:rich>
      </c:tx>
      <c:layout>
        <c:manualLayout>
          <c:xMode val="factor"/>
          <c:yMode val="factor"/>
          <c:x val="0.00125"/>
          <c:y val="-0.018"/>
        </c:manualLayout>
      </c:layout>
      <c:spPr>
        <a:noFill/>
        <a:ln>
          <a:noFill/>
        </a:ln>
      </c:spPr>
    </c:title>
    <c:plotArea>
      <c:layout>
        <c:manualLayout>
          <c:xMode val="edge"/>
          <c:yMode val="edge"/>
          <c:x val="0.0155"/>
          <c:y val="0.1575"/>
          <c:w val="0.97725"/>
          <c:h val="0.788"/>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pPr>
              </a:p>
            </c:txPr>
            <c:dLblPos val="inEnd"/>
            <c:showLegendKey val="0"/>
            <c:showVal val="1"/>
            <c:showBubbleSize val="0"/>
            <c:showCatName val="0"/>
            <c:showSerName val="0"/>
            <c:showPercent val="0"/>
          </c:dLbls>
          <c:val>
            <c:numRef>
              <c:f>'Why Take AP DATA'!$C$18:$E$18</c:f>
              <c:numCache>
                <c:ptCount val="3"/>
                <c:pt idx="0">
                  <c:v>0.57</c:v>
                </c:pt>
                <c:pt idx="1">
                  <c:v>0.37</c:v>
                </c:pt>
                <c:pt idx="2">
                  <c:v>0.17</c:v>
                </c:pt>
              </c:numCache>
            </c:numRef>
          </c:val>
        </c:ser>
        <c:axId val="4191946"/>
        <c:axId val="37727515"/>
      </c:barChart>
      <c:catAx>
        <c:axId val="4191946"/>
        <c:scaling>
          <c:orientation val="minMax"/>
        </c:scaling>
        <c:axPos val="b"/>
        <c:title>
          <c:tx>
            <c:rich>
              <a:bodyPr vert="horz" rot="0" anchor="ctr"/>
              <a:lstStyle/>
              <a:p>
                <a:pPr algn="ctr">
                  <a:defRPr/>
                </a:pPr>
                <a:r>
                  <a:rPr lang="en-US" cap="none" sz="1600" b="1" i="0" u="none" baseline="0"/>
                  <a:t>% of Texas High School graduates
receiving degree from Texas college/univ. within 5 years</a:t>
                </a:r>
              </a:p>
            </c:rich>
          </c:tx>
          <c:layout>
            <c:manualLayout>
              <c:xMode val="factor"/>
              <c:yMode val="factor"/>
              <c:x val="0.2805"/>
              <c:y val="-0.001"/>
            </c:manualLayout>
          </c:layout>
          <c:overlay val="0"/>
          <c:spPr>
            <a:noFill/>
            <a:ln>
              <a:noFill/>
            </a:ln>
          </c:spPr>
        </c:title>
        <c:delete val="1"/>
        <c:majorTickMark val="out"/>
        <c:minorTickMark val="none"/>
        <c:tickLblPos val="nextTo"/>
        <c:txPr>
          <a:bodyPr/>
          <a:lstStyle/>
          <a:p>
            <a:pPr>
              <a:defRPr lang="en-US" cap="none" sz="1200" b="1" i="0" u="none" baseline="0"/>
            </a:pPr>
          </a:p>
        </c:txPr>
        <c:crossAx val="37727515"/>
        <c:crossesAt val="0"/>
        <c:auto val="1"/>
        <c:lblOffset val="100"/>
        <c:noMultiLvlLbl val="0"/>
      </c:catAx>
      <c:valAx>
        <c:axId val="37727515"/>
        <c:scaling>
          <c:orientation val="minMax"/>
          <c:max val="0.6"/>
          <c:min val="-0.1"/>
        </c:scaling>
        <c:axPos val="l"/>
        <c:majorGridlines>
          <c:spPr>
            <a:ln w="3175">
              <a:solidFill/>
              <a:prstDash val="sysDot"/>
            </a:ln>
          </c:spPr>
        </c:majorGridlines>
        <c:delete val="0"/>
        <c:numFmt formatCode="General" sourceLinked="1"/>
        <c:majorTickMark val="out"/>
        <c:minorTickMark val="none"/>
        <c:tickLblPos val="none"/>
        <c:crossAx val="4191946"/>
        <c:crossesAt val="1"/>
        <c:crossBetween val="between"/>
        <c:dispUnits/>
        <c:majorUnit val="0.1"/>
        <c:minorUnit val="0.0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2007 Combination of APWH Multiple Choice &amp; Essay Scores</a:t>
            </a:r>
            <a:r>
              <a:rPr lang="en-US" cap="none" sz="1800" b="0" i="0" u="none" baseline="0"/>
              <a:t>
</a:t>
            </a:r>
            <a:r>
              <a:rPr lang="en-US" cap="none" sz="1100" b="0" i="0" u="none" baseline="0"/>
              <a:t>"If I get x% right on the multiple choice section, what essay scores would I need to get a 5? a 4?"</a:t>
            </a:r>
          </a:p>
        </c:rich>
      </c:tx>
      <c:layout>
        <c:manualLayout>
          <c:xMode val="factor"/>
          <c:yMode val="factor"/>
          <c:x val="0.06575"/>
          <c:y val="-0.00375"/>
        </c:manualLayout>
      </c:layout>
      <c:spPr>
        <a:noFill/>
        <a:ln>
          <a:noFill/>
        </a:ln>
      </c:spPr>
    </c:title>
    <c:plotArea>
      <c:layout>
        <c:manualLayout>
          <c:xMode val="edge"/>
          <c:yMode val="edge"/>
          <c:x val="0.07425"/>
          <c:y val="0.17475"/>
          <c:w val="0.9135"/>
          <c:h val="0.74525"/>
        </c:manualLayout>
      </c:layout>
      <c:lineChart>
        <c:grouping val="standard"/>
        <c:varyColors val="0"/>
        <c:ser>
          <c:idx val="4"/>
          <c:order val="0"/>
          <c:tx>
            <c:v>Needed for 2</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'2007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'2007 Score Comb DATA'!$N$2:$N$72</c:f>
              <c:numCache>
                <c:ptCount val="71"/>
                <c:pt idx="0">
                  <c:v>12.150121501215013</c:v>
                </c:pt>
                <c:pt idx="1">
                  <c:v>12.150121501215013</c:v>
                </c:pt>
                <c:pt idx="2">
                  <c:v>12.150121501215013</c:v>
                </c:pt>
                <c:pt idx="3">
                  <c:v>12.150121501215013</c:v>
                </c:pt>
                <c:pt idx="4">
                  <c:v>12.150121501215013</c:v>
                </c:pt>
                <c:pt idx="5">
                  <c:v>12.150121501215013</c:v>
                </c:pt>
                <c:pt idx="6">
                  <c:v>12.150121501215013</c:v>
                </c:pt>
                <c:pt idx="7">
                  <c:v>12.150121501215013</c:v>
                </c:pt>
                <c:pt idx="8">
                  <c:v>12.150121501215013</c:v>
                </c:pt>
                <c:pt idx="9">
                  <c:v>12.150121501215013</c:v>
                </c:pt>
                <c:pt idx="10">
                  <c:v>12.150121501215013</c:v>
                </c:pt>
                <c:pt idx="11">
                  <c:v>12.150121501215013</c:v>
                </c:pt>
                <c:pt idx="12">
                  <c:v>12.150121501215013</c:v>
                </c:pt>
                <c:pt idx="13">
                  <c:v>12.150121501215013</c:v>
                </c:pt>
                <c:pt idx="14">
                  <c:v>12.150121501215013</c:v>
                </c:pt>
                <c:pt idx="15">
                  <c:v>11.667973822595368</c:v>
                </c:pt>
                <c:pt idx="16">
                  <c:v>11.185826143975726</c:v>
                </c:pt>
                <c:pt idx="17">
                  <c:v>10.703678465356083</c:v>
                </c:pt>
                <c:pt idx="18">
                  <c:v>10.221530786736439</c:v>
                </c:pt>
                <c:pt idx="19">
                  <c:v>9.739383108116796</c:v>
                </c:pt>
                <c:pt idx="20">
                  <c:v>9.257235429497152</c:v>
                </c:pt>
                <c:pt idx="21">
                  <c:v>8.775087750877509</c:v>
                </c:pt>
                <c:pt idx="22">
                  <c:v>8.292940072257867</c:v>
                </c:pt>
                <c:pt idx="23">
                  <c:v>7.810792393638223</c:v>
                </c:pt>
                <c:pt idx="24">
                  <c:v>7.328644715018578</c:v>
                </c:pt>
                <c:pt idx="25">
                  <c:v>6.846497036398936</c:v>
                </c:pt>
                <c:pt idx="26">
                  <c:v>6.364349357779293</c:v>
                </c:pt>
                <c:pt idx="27">
                  <c:v>5.88220167915965</c:v>
                </c:pt>
                <c:pt idx="28">
                  <c:v>5.400054000540005</c:v>
                </c:pt>
                <c:pt idx="29">
                  <c:v>4.917906321920363</c:v>
                </c:pt>
                <c:pt idx="30">
                  <c:v>4.435758643300719</c:v>
                </c:pt>
                <c:pt idx="31">
                  <c:v>3.9536109646810766</c:v>
                </c:pt>
                <c:pt idx="32">
                  <c:v>3.4714632860614327</c:v>
                </c:pt>
                <c:pt idx="33">
                  <c:v>2.9893156074417884</c:v>
                </c:pt>
                <c:pt idx="34">
                  <c:v>2.5071679288221462</c:v>
                </c:pt>
                <c:pt idx="35">
                  <c:v>2.025020250202502</c:v>
                </c:pt>
                <c:pt idx="36">
                  <c:v>1.5428725715828597</c:v>
                </c:pt>
                <c:pt idx="37">
                  <c:v>1.0607248929632156</c:v>
                </c:pt>
                <c:pt idx="38">
                  <c:v>0.5785772143435731</c:v>
                </c:pt>
                <c:pt idx="39">
                  <c:v>0.09642953572392912</c:v>
                </c:pt>
                <c:pt idx="40">
                  <c:v>-0.3857181428957133</c:v>
                </c:pt>
                <c:pt idx="41">
                  <c:v>-0.8678658215153573</c:v>
                </c:pt>
                <c:pt idx="42">
                  <c:v>-1.3500135001350013</c:v>
                </c:pt>
                <c:pt idx="43">
                  <c:v>-1.832161178754644</c:v>
                </c:pt>
                <c:pt idx="44">
                  <c:v>-2.3143088573742863</c:v>
                </c:pt>
                <c:pt idx="45">
                  <c:v>-2.796456535993932</c:v>
                </c:pt>
                <c:pt idx="46">
                  <c:v>-3.2786042146135745</c:v>
                </c:pt>
                <c:pt idx="47">
                  <c:v>-3.7607518932332167</c:v>
                </c:pt>
                <c:pt idx="48">
                  <c:v>-4.242899571852859</c:v>
                </c:pt>
                <c:pt idx="49">
                  <c:v>-4.725047250472505</c:v>
                </c:pt>
                <c:pt idx="50">
                  <c:v>-5.2071949290921475</c:v>
                </c:pt>
                <c:pt idx="51">
                  <c:v>-5.68934260771179</c:v>
                </c:pt>
                <c:pt idx="52">
                  <c:v>-6.171490286331435</c:v>
                </c:pt>
                <c:pt idx="53">
                  <c:v>-6.653637964951078</c:v>
                </c:pt>
                <c:pt idx="54">
                  <c:v>-7.1357856435707205</c:v>
                </c:pt>
                <c:pt idx="55">
                  <c:v>-7.617933322190362</c:v>
                </c:pt>
                <c:pt idx="56">
                  <c:v>-8.100081000810007</c:v>
                </c:pt>
                <c:pt idx="57">
                  <c:v>-8.582228679429651</c:v>
                </c:pt>
                <c:pt idx="58">
                  <c:v>-9.064376358049293</c:v>
                </c:pt>
                <c:pt idx="59">
                  <c:v>-9.546524036668936</c:v>
                </c:pt>
                <c:pt idx="60">
                  <c:v>-10.028671715288581</c:v>
                </c:pt>
                <c:pt idx="61">
                  <c:v>-10.510819393908223</c:v>
                </c:pt>
                <c:pt idx="62">
                  <c:v>-10.992967072527867</c:v>
                </c:pt>
                <c:pt idx="63">
                  <c:v>-11.475114751147512</c:v>
                </c:pt>
                <c:pt idx="64">
                  <c:v>-11.957262429767153</c:v>
                </c:pt>
                <c:pt idx="65">
                  <c:v>-12.439410108386797</c:v>
                </c:pt>
                <c:pt idx="66">
                  <c:v>-12.921557787006439</c:v>
                </c:pt>
                <c:pt idx="67">
                  <c:v>-13.403705465626084</c:v>
                </c:pt>
                <c:pt idx="68">
                  <c:v>-13.885853144245727</c:v>
                </c:pt>
                <c:pt idx="69">
                  <c:v>-14.368000822865369</c:v>
                </c:pt>
                <c:pt idx="70">
                  <c:v>-14.850148501485014</c:v>
                </c:pt>
              </c:numCache>
            </c:numRef>
          </c:val>
          <c:smooth val="0"/>
        </c:ser>
        <c:ser>
          <c:idx val="5"/>
          <c:order val="1"/>
          <c:tx>
            <c:v>Needed for 3</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'2007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'2007 Score Comb DATA'!$O$2:$O$72</c:f>
              <c:numCache>
                <c:ptCount val="71"/>
                <c:pt idx="0">
                  <c:v>19.35019350193502</c:v>
                </c:pt>
                <c:pt idx="1">
                  <c:v>19.35019350193502</c:v>
                </c:pt>
                <c:pt idx="2">
                  <c:v>19.35019350193502</c:v>
                </c:pt>
                <c:pt idx="3">
                  <c:v>19.35019350193502</c:v>
                </c:pt>
                <c:pt idx="4">
                  <c:v>19.35019350193502</c:v>
                </c:pt>
                <c:pt idx="5">
                  <c:v>19.35019350193502</c:v>
                </c:pt>
                <c:pt idx="6">
                  <c:v>19.35019350193502</c:v>
                </c:pt>
                <c:pt idx="7">
                  <c:v>19.35019350193502</c:v>
                </c:pt>
                <c:pt idx="8">
                  <c:v>19.35019350193502</c:v>
                </c:pt>
                <c:pt idx="9">
                  <c:v>19.35019350193502</c:v>
                </c:pt>
                <c:pt idx="10">
                  <c:v>19.35019350193502</c:v>
                </c:pt>
                <c:pt idx="11">
                  <c:v>19.35019350193502</c:v>
                </c:pt>
                <c:pt idx="12">
                  <c:v>19.35019350193502</c:v>
                </c:pt>
                <c:pt idx="13">
                  <c:v>19.35019350193502</c:v>
                </c:pt>
                <c:pt idx="14">
                  <c:v>19.35019350193502</c:v>
                </c:pt>
                <c:pt idx="15">
                  <c:v>18.868045823315377</c:v>
                </c:pt>
                <c:pt idx="16">
                  <c:v>18.38589814469573</c:v>
                </c:pt>
                <c:pt idx="17">
                  <c:v>17.90375046607609</c:v>
                </c:pt>
                <c:pt idx="18">
                  <c:v>17.421602787456447</c:v>
                </c:pt>
                <c:pt idx="19">
                  <c:v>16.939455108836803</c:v>
                </c:pt>
                <c:pt idx="20">
                  <c:v>16.45730743021716</c:v>
                </c:pt>
                <c:pt idx="21">
                  <c:v>15.975159751597516</c:v>
                </c:pt>
                <c:pt idx="22">
                  <c:v>15.493012072977875</c:v>
                </c:pt>
                <c:pt idx="23">
                  <c:v>15.010864394358231</c:v>
                </c:pt>
                <c:pt idx="24">
                  <c:v>14.528716715738586</c:v>
                </c:pt>
                <c:pt idx="25">
                  <c:v>14.046569037118944</c:v>
                </c:pt>
                <c:pt idx="26">
                  <c:v>13.5644213584993</c:v>
                </c:pt>
                <c:pt idx="27">
                  <c:v>13.082273679879657</c:v>
                </c:pt>
                <c:pt idx="28">
                  <c:v>12.600126001260012</c:v>
                </c:pt>
                <c:pt idx="29">
                  <c:v>12.11797832264037</c:v>
                </c:pt>
                <c:pt idx="30">
                  <c:v>11.635830644020727</c:v>
                </c:pt>
                <c:pt idx="31">
                  <c:v>11.153682965401083</c:v>
                </c:pt>
                <c:pt idx="32">
                  <c:v>10.67153528678144</c:v>
                </c:pt>
                <c:pt idx="33">
                  <c:v>10.189387608161796</c:v>
                </c:pt>
                <c:pt idx="34">
                  <c:v>9.707239929542153</c:v>
                </c:pt>
                <c:pt idx="35">
                  <c:v>9.22509225092251</c:v>
                </c:pt>
                <c:pt idx="36">
                  <c:v>8.742944572302868</c:v>
                </c:pt>
                <c:pt idx="37">
                  <c:v>8.260796893683223</c:v>
                </c:pt>
                <c:pt idx="38">
                  <c:v>7.778649215063581</c:v>
                </c:pt>
                <c:pt idx="39">
                  <c:v>7.2965015364439365</c:v>
                </c:pt>
                <c:pt idx="40">
                  <c:v>6.814353857824294</c:v>
                </c:pt>
                <c:pt idx="41">
                  <c:v>6.33220617920465</c:v>
                </c:pt>
                <c:pt idx="42">
                  <c:v>5.850058500585006</c:v>
                </c:pt>
                <c:pt idx="43">
                  <c:v>5.3679108219653635</c:v>
                </c:pt>
                <c:pt idx="44">
                  <c:v>4.885763143345721</c:v>
                </c:pt>
                <c:pt idx="45">
                  <c:v>4.403615464726076</c:v>
                </c:pt>
                <c:pt idx="46">
                  <c:v>3.921467786106433</c:v>
                </c:pt>
                <c:pt idx="47">
                  <c:v>3.4393201074867905</c:v>
                </c:pt>
                <c:pt idx="48">
                  <c:v>2.9571724288671484</c:v>
                </c:pt>
                <c:pt idx="49">
                  <c:v>2.4750247502475027</c:v>
                </c:pt>
                <c:pt idx="50">
                  <c:v>1.99287707162786</c:v>
                </c:pt>
                <c:pt idx="51">
                  <c:v>1.5107293930082177</c:v>
                </c:pt>
                <c:pt idx="52">
                  <c:v>1.028581714388572</c:v>
                </c:pt>
                <c:pt idx="53">
                  <c:v>0.5464340357689296</c:v>
                </c:pt>
                <c:pt idx="54">
                  <c:v>0.06428635714928715</c:v>
                </c:pt>
                <c:pt idx="55">
                  <c:v>-0.41786132147035526</c:v>
                </c:pt>
                <c:pt idx="56">
                  <c:v>-0.900009000090001</c:v>
                </c:pt>
                <c:pt idx="57">
                  <c:v>-1.3821566787096433</c:v>
                </c:pt>
                <c:pt idx="58">
                  <c:v>-1.864304357329286</c:v>
                </c:pt>
                <c:pt idx="59">
                  <c:v>-2.346452035948928</c:v>
                </c:pt>
                <c:pt idx="60">
                  <c:v>-2.8285997145685737</c:v>
                </c:pt>
                <c:pt idx="61">
                  <c:v>-3.3107473931882163</c:v>
                </c:pt>
                <c:pt idx="62">
                  <c:v>-3.792895071807859</c:v>
                </c:pt>
                <c:pt idx="63">
                  <c:v>-4.275042750427504</c:v>
                </c:pt>
                <c:pt idx="64">
                  <c:v>-4.757190429047147</c:v>
                </c:pt>
                <c:pt idx="65">
                  <c:v>-5.239338107666789</c:v>
                </c:pt>
                <c:pt idx="66">
                  <c:v>-5.721485786286432</c:v>
                </c:pt>
                <c:pt idx="67">
                  <c:v>-6.203633464906077</c:v>
                </c:pt>
                <c:pt idx="68">
                  <c:v>-6.68578114352572</c:v>
                </c:pt>
                <c:pt idx="69">
                  <c:v>-7.167928822145362</c:v>
                </c:pt>
                <c:pt idx="70">
                  <c:v>-7.650076500765008</c:v>
                </c:pt>
              </c:numCache>
            </c:numRef>
          </c:val>
          <c:smooth val="0"/>
        </c:ser>
        <c:ser>
          <c:idx val="6"/>
          <c:order val="2"/>
          <c:tx>
            <c:v>Needed for 4</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'2007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'2007 Score Comb DATA'!$P$2:$P$72</c:f>
              <c:numCache>
                <c:ptCount val="71"/>
                <c:pt idx="0">
                  <c:v>27.000270002700027</c:v>
                </c:pt>
                <c:pt idx="1">
                  <c:v>27.000270002700027</c:v>
                </c:pt>
                <c:pt idx="2">
                  <c:v>27.000270002700027</c:v>
                </c:pt>
                <c:pt idx="3">
                  <c:v>27.000270002700027</c:v>
                </c:pt>
                <c:pt idx="4">
                  <c:v>27.000270002700027</c:v>
                </c:pt>
                <c:pt idx="5">
                  <c:v>27.000270002700027</c:v>
                </c:pt>
                <c:pt idx="6">
                  <c:v>27.000270002700027</c:v>
                </c:pt>
                <c:pt idx="7">
                  <c:v>27.000270002700027</c:v>
                </c:pt>
                <c:pt idx="8">
                  <c:v>27.000270002700027</c:v>
                </c:pt>
                <c:pt idx="9">
                  <c:v>27.000270002700027</c:v>
                </c:pt>
                <c:pt idx="10">
                  <c:v>27.000270002700027</c:v>
                </c:pt>
                <c:pt idx="11">
                  <c:v>27.000270002700027</c:v>
                </c:pt>
                <c:pt idx="12">
                  <c:v>27.000270002700027</c:v>
                </c:pt>
                <c:pt idx="13">
                  <c:v>27.000270002700027</c:v>
                </c:pt>
                <c:pt idx="14">
                  <c:v>27.000270002700027</c:v>
                </c:pt>
                <c:pt idx="15">
                  <c:v>26.518122324080384</c:v>
                </c:pt>
                <c:pt idx="16">
                  <c:v>26.03597464546074</c:v>
                </c:pt>
                <c:pt idx="17">
                  <c:v>25.553826966841097</c:v>
                </c:pt>
                <c:pt idx="18">
                  <c:v>25.071679288221453</c:v>
                </c:pt>
                <c:pt idx="19">
                  <c:v>24.589531609601813</c:v>
                </c:pt>
                <c:pt idx="20">
                  <c:v>24.107383930982166</c:v>
                </c:pt>
                <c:pt idx="21">
                  <c:v>23.625236252362523</c:v>
                </c:pt>
                <c:pt idx="22">
                  <c:v>23.143088573742883</c:v>
                </c:pt>
                <c:pt idx="23">
                  <c:v>22.66094089512324</c:v>
                </c:pt>
                <c:pt idx="24">
                  <c:v>22.178793216503593</c:v>
                </c:pt>
                <c:pt idx="25">
                  <c:v>21.696645537883953</c:v>
                </c:pt>
                <c:pt idx="26">
                  <c:v>21.21449785926431</c:v>
                </c:pt>
                <c:pt idx="27">
                  <c:v>20.732350180644662</c:v>
                </c:pt>
                <c:pt idx="28">
                  <c:v>20.250202502025022</c:v>
                </c:pt>
                <c:pt idx="29">
                  <c:v>19.76805482340538</c:v>
                </c:pt>
                <c:pt idx="30">
                  <c:v>19.285907144785735</c:v>
                </c:pt>
                <c:pt idx="31">
                  <c:v>18.803759466166092</c:v>
                </c:pt>
                <c:pt idx="32">
                  <c:v>18.32161178754645</c:v>
                </c:pt>
                <c:pt idx="33">
                  <c:v>17.8394641089268</c:v>
                </c:pt>
                <c:pt idx="34">
                  <c:v>17.35731643030716</c:v>
                </c:pt>
                <c:pt idx="35">
                  <c:v>16.875168751687518</c:v>
                </c:pt>
                <c:pt idx="36">
                  <c:v>16.393021073067874</c:v>
                </c:pt>
                <c:pt idx="37">
                  <c:v>15.910873394448233</c:v>
                </c:pt>
                <c:pt idx="38">
                  <c:v>15.42872571582859</c:v>
                </c:pt>
                <c:pt idx="39">
                  <c:v>14.946578037208944</c:v>
                </c:pt>
                <c:pt idx="40">
                  <c:v>14.464430358589302</c:v>
                </c:pt>
                <c:pt idx="41">
                  <c:v>13.982282679969657</c:v>
                </c:pt>
                <c:pt idx="42">
                  <c:v>13.500135001350014</c:v>
                </c:pt>
                <c:pt idx="43">
                  <c:v>13.017987322730372</c:v>
                </c:pt>
                <c:pt idx="44">
                  <c:v>12.535839644110728</c:v>
                </c:pt>
                <c:pt idx="45">
                  <c:v>12.053691965491083</c:v>
                </c:pt>
                <c:pt idx="46">
                  <c:v>11.571544286871442</c:v>
                </c:pt>
                <c:pt idx="47">
                  <c:v>11.089396608251798</c:v>
                </c:pt>
                <c:pt idx="48">
                  <c:v>10.607248929632156</c:v>
                </c:pt>
                <c:pt idx="49">
                  <c:v>10.125101251012511</c:v>
                </c:pt>
                <c:pt idx="50">
                  <c:v>9.642953572392868</c:v>
                </c:pt>
                <c:pt idx="51">
                  <c:v>9.160805893773226</c:v>
                </c:pt>
                <c:pt idx="52">
                  <c:v>8.67865821515358</c:v>
                </c:pt>
                <c:pt idx="53">
                  <c:v>8.196510536533937</c:v>
                </c:pt>
                <c:pt idx="54">
                  <c:v>7.714362857914295</c:v>
                </c:pt>
                <c:pt idx="55">
                  <c:v>7.232215179294653</c:v>
                </c:pt>
                <c:pt idx="56">
                  <c:v>6.750067500675007</c:v>
                </c:pt>
                <c:pt idx="57">
                  <c:v>6.267919822055364</c:v>
                </c:pt>
                <c:pt idx="58">
                  <c:v>5.785772143435722</c:v>
                </c:pt>
                <c:pt idx="59">
                  <c:v>5.30362446481608</c:v>
                </c:pt>
                <c:pt idx="60">
                  <c:v>4.821476786196434</c:v>
                </c:pt>
                <c:pt idx="61">
                  <c:v>4.339329107576791</c:v>
                </c:pt>
                <c:pt idx="62">
                  <c:v>3.857181428957149</c:v>
                </c:pt>
                <c:pt idx="63">
                  <c:v>3.3750337503375034</c:v>
                </c:pt>
                <c:pt idx="64">
                  <c:v>2.892886071717861</c:v>
                </c:pt>
                <c:pt idx="65">
                  <c:v>2.4107383930982187</c:v>
                </c:pt>
                <c:pt idx="66">
                  <c:v>1.928590714478576</c:v>
                </c:pt>
                <c:pt idx="67">
                  <c:v>1.4464430358589304</c:v>
                </c:pt>
                <c:pt idx="68">
                  <c:v>0.964295357239288</c:v>
                </c:pt>
                <c:pt idx="69">
                  <c:v>0.48214767861964564</c:v>
                </c:pt>
                <c:pt idx="70">
                  <c:v>0</c:v>
                </c:pt>
              </c:numCache>
            </c:numRef>
          </c:val>
          <c:smooth val="0"/>
        </c:ser>
        <c:ser>
          <c:idx val="7"/>
          <c:order val="3"/>
          <c:tx>
            <c:v>Needed for 5</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'2007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'2007 Score Comb DATA'!$Q$2:$Q$72</c:f>
              <c:numCache>
                <c:ptCount val="71"/>
                <c:pt idx="0">
                  <c:v>33.30033300333003</c:v>
                </c:pt>
                <c:pt idx="1">
                  <c:v>33.30033300333003</c:v>
                </c:pt>
                <c:pt idx="2">
                  <c:v>33.30033300333003</c:v>
                </c:pt>
                <c:pt idx="3">
                  <c:v>33.30033300333003</c:v>
                </c:pt>
                <c:pt idx="4">
                  <c:v>33.30033300333003</c:v>
                </c:pt>
                <c:pt idx="5">
                  <c:v>33.30033300333003</c:v>
                </c:pt>
                <c:pt idx="6">
                  <c:v>33.30033300333003</c:v>
                </c:pt>
                <c:pt idx="7">
                  <c:v>33.30033300333003</c:v>
                </c:pt>
                <c:pt idx="8">
                  <c:v>33.30033300333003</c:v>
                </c:pt>
                <c:pt idx="9">
                  <c:v>33.30033300333003</c:v>
                </c:pt>
                <c:pt idx="10">
                  <c:v>33.30033300333003</c:v>
                </c:pt>
                <c:pt idx="11">
                  <c:v>33.30033300333003</c:v>
                </c:pt>
                <c:pt idx="12">
                  <c:v>33.30033300333003</c:v>
                </c:pt>
                <c:pt idx="13">
                  <c:v>33.30033300333003</c:v>
                </c:pt>
                <c:pt idx="14">
                  <c:v>33.30033300333003</c:v>
                </c:pt>
                <c:pt idx="15">
                  <c:v>32.81818532471039</c:v>
                </c:pt>
                <c:pt idx="16">
                  <c:v>32.33603764609075</c:v>
                </c:pt>
                <c:pt idx="17">
                  <c:v>31.85388996747111</c:v>
                </c:pt>
                <c:pt idx="18">
                  <c:v>31.371742288851458</c:v>
                </c:pt>
                <c:pt idx="19">
                  <c:v>30.889594610231814</c:v>
                </c:pt>
                <c:pt idx="20">
                  <c:v>30.407446931612174</c:v>
                </c:pt>
                <c:pt idx="21">
                  <c:v>29.92529925299253</c:v>
                </c:pt>
                <c:pt idx="22">
                  <c:v>29.443151574372887</c:v>
                </c:pt>
                <c:pt idx="23">
                  <c:v>28.961003895753247</c:v>
                </c:pt>
                <c:pt idx="24">
                  <c:v>28.4788562171336</c:v>
                </c:pt>
                <c:pt idx="25">
                  <c:v>27.996708538513957</c:v>
                </c:pt>
                <c:pt idx="26">
                  <c:v>27.514560859894313</c:v>
                </c:pt>
                <c:pt idx="27">
                  <c:v>27.03241318127467</c:v>
                </c:pt>
                <c:pt idx="28">
                  <c:v>26.550265502655026</c:v>
                </c:pt>
                <c:pt idx="29">
                  <c:v>26.068117824035383</c:v>
                </c:pt>
                <c:pt idx="30">
                  <c:v>25.585970145415743</c:v>
                </c:pt>
                <c:pt idx="31">
                  <c:v>25.1038224667961</c:v>
                </c:pt>
                <c:pt idx="32">
                  <c:v>24.621674788176453</c:v>
                </c:pt>
                <c:pt idx="33">
                  <c:v>24.13952710955681</c:v>
                </c:pt>
                <c:pt idx="34">
                  <c:v>23.657379430937166</c:v>
                </c:pt>
                <c:pt idx="35">
                  <c:v>23.175231752317522</c:v>
                </c:pt>
                <c:pt idx="36">
                  <c:v>22.693084073697882</c:v>
                </c:pt>
                <c:pt idx="37">
                  <c:v>22.21093639507824</c:v>
                </c:pt>
                <c:pt idx="38">
                  <c:v>21.728788716458595</c:v>
                </c:pt>
                <c:pt idx="39">
                  <c:v>21.246641037838952</c:v>
                </c:pt>
                <c:pt idx="40">
                  <c:v>20.76449335921931</c:v>
                </c:pt>
                <c:pt idx="41">
                  <c:v>20.28234568059966</c:v>
                </c:pt>
                <c:pt idx="42">
                  <c:v>19.80019800198002</c:v>
                </c:pt>
                <c:pt idx="43">
                  <c:v>19.318050323360378</c:v>
                </c:pt>
                <c:pt idx="44">
                  <c:v>18.835902644740735</c:v>
                </c:pt>
                <c:pt idx="45">
                  <c:v>18.35375496612109</c:v>
                </c:pt>
                <c:pt idx="46">
                  <c:v>17.871607287501448</c:v>
                </c:pt>
                <c:pt idx="47">
                  <c:v>17.389459608881804</c:v>
                </c:pt>
                <c:pt idx="48">
                  <c:v>16.907311930262164</c:v>
                </c:pt>
                <c:pt idx="49">
                  <c:v>16.425164251642517</c:v>
                </c:pt>
                <c:pt idx="50">
                  <c:v>15.943016573022874</c:v>
                </c:pt>
                <c:pt idx="51">
                  <c:v>15.460868894403232</c:v>
                </c:pt>
                <c:pt idx="52">
                  <c:v>14.978721215783587</c:v>
                </c:pt>
                <c:pt idx="53">
                  <c:v>14.496573537163943</c:v>
                </c:pt>
                <c:pt idx="54">
                  <c:v>14.014425858544302</c:v>
                </c:pt>
                <c:pt idx="55">
                  <c:v>13.532278179924658</c:v>
                </c:pt>
                <c:pt idx="56">
                  <c:v>13.050130501305013</c:v>
                </c:pt>
                <c:pt idx="57">
                  <c:v>12.567982822685371</c:v>
                </c:pt>
                <c:pt idx="58">
                  <c:v>12.085835144065728</c:v>
                </c:pt>
                <c:pt idx="59">
                  <c:v>11.603687465446086</c:v>
                </c:pt>
                <c:pt idx="60">
                  <c:v>11.12153978682644</c:v>
                </c:pt>
                <c:pt idx="61">
                  <c:v>10.639392108206797</c:v>
                </c:pt>
                <c:pt idx="62">
                  <c:v>10.157244429587156</c:v>
                </c:pt>
                <c:pt idx="63">
                  <c:v>9.67509675096751</c:v>
                </c:pt>
                <c:pt idx="64">
                  <c:v>9.192949072347867</c:v>
                </c:pt>
                <c:pt idx="65">
                  <c:v>8.710801393728225</c:v>
                </c:pt>
                <c:pt idx="66">
                  <c:v>8.228653715108583</c:v>
                </c:pt>
                <c:pt idx="67">
                  <c:v>7.746506036488937</c:v>
                </c:pt>
                <c:pt idx="68">
                  <c:v>7.264358357869295</c:v>
                </c:pt>
                <c:pt idx="69">
                  <c:v>6.782210679249652</c:v>
                </c:pt>
                <c:pt idx="70">
                  <c:v>6.300063000630006</c:v>
                </c:pt>
              </c:numCache>
            </c:numRef>
          </c:val>
          <c:smooth val="0"/>
        </c:ser>
        <c:axId val="26467708"/>
        <c:axId val="36882781"/>
      </c:lineChart>
      <c:catAx>
        <c:axId val="26467708"/>
        <c:scaling>
          <c:orientation val="minMax"/>
        </c:scaling>
        <c:axPos val="b"/>
        <c:title>
          <c:tx>
            <c:rich>
              <a:bodyPr vert="horz" rot="0" anchor="ctr"/>
              <a:lstStyle/>
              <a:p>
                <a:pPr algn="ctr">
                  <a:defRPr/>
                </a:pPr>
                <a:r>
                  <a:rPr lang="en-US" cap="none" sz="1400" b="1" i="0" u="none" baseline="0"/>
                  <a:t>% of Multiple Choice Questions Answered Correctly
</a:t>
                </a:r>
                <a:r>
                  <a:rPr lang="en-US" cap="none" sz="1200" b="1" i="0" u="none" baseline="0"/>
                  <a:t>(Assumes no skipped questions)</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pPr>
          </a:p>
        </c:txPr>
        <c:crossAx val="36882781"/>
        <c:crosses val="autoZero"/>
        <c:auto val="1"/>
        <c:lblOffset val="100"/>
        <c:tickLblSkip val="3"/>
        <c:noMultiLvlLbl val="0"/>
      </c:catAx>
      <c:valAx>
        <c:axId val="36882781"/>
        <c:scaling>
          <c:orientation val="minMax"/>
          <c:max val="27"/>
          <c:min val="0"/>
        </c:scaling>
        <c:axPos val="l"/>
        <c:title>
          <c:tx>
            <c:rich>
              <a:bodyPr vert="horz" rot="-5400000" anchor="ctr"/>
              <a:lstStyle/>
              <a:p>
                <a:pPr algn="ctr">
                  <a:defRPr/>
                </a:pPr>
                <a:r>
                  <a:rPr lang="en-US" cap="none" sz="1400" b="1" i="0" u="none" baseline="0"/>
                  <a:t>Combined Essay Scores
(DBQ + CCOT + Comparative)</a:t>
                </a:r>
              </a:p>
            </c:rich>
          </c:tx>
          <c:layout/>
          <c:overlay val="0"/>
          <c:spPr>
            <a:noFill/>
            <a:ln>
              <a:noFill/>
            </a:ln>
          </c:spPr>
        </c:title>
        <c:delete val="0"/>
        <c:numFmt formatCode="0" sourceLinked="0"/>
        <c:majorTickMark val="out"/>
        <c:minorTickMark val="none"/>
        <c:tickLblPos val="nextTo"/>
        <c:crossAx val="26467708"/>
        <c:crossesAt val="1"/>
        <c:crossBetween val="between"/>
        <c:dispUnits/>
        <c:majorUnit val="3"/>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FF"/>
                </a:solidFill>
              </a:rPr>
              <a:t>2002</a:t>
            </a:r>
            <a:r>
              <a:rPr lang="en-US" cap="none" sz="1800" b="1" i="0" u="none" baseline="0"/>
              <a:t> vs. </a:t>
            </a:r>
            <a:r>
              <a:rPr lang="en-US" cap="none" sz="1800" b="1" i="0" u="none" baseline="0">
                <a:solidFill>
                  <a:srgbClr val="FF0000"/>
                </a:solidFill>
              </a:rPr>
              <a:t>2007</a:t>
            </a:r>
            <a:r>
              <a:rPr lang="en-US" cap="none" sz="1800" b="1" i="0" u="none" baseline="0"/>
              <a:t> Combination of APWH MC &amp; Essay Scores</a:t>
            </a:r>
            <a:r>
              <a:rPr lang="en-US" cap="none" sz="1400" b="1" i="0" u="none" baseline="0"/>
              <a:t>
</a:t>
            </a:r>
            <a:r>
              <a:rPr lang="en-US" cap="none" sz="1300" b="0" i="0" u="none" baseline="0"/>
              <a:t>Cutoff levels required for a Final Score of 2 or 3 were unchanged.
Cutoff levels required for a Final Score of 4 or 5 were lowered. (red dashed lines = 2007)</a:t>
            </a:r>
          </a:p>
        </c:rich>
      </c:tx>
      <c:layout>
        <c:manualLayout>
          <c:xMode val="factor"/>
          <c:yMode val="factor"/>
          <c:x val="0.02175"/>
          <c:y val="-0.0035"/>
        </c:manualLayout>
      </c:layout>
      <c:spPr>
        <a:noFill/>
        <a:ln>
          <a:noFill/>
        </a:ln>
      </c:spPr>
    </c:title>
    <c:plotArea>
      <c:layout>
        <c:manualLayout>
          <c:xMode val="edge"/>
          <c:yMode val="edge"/>
          <c:x val="0.07425"/>
          <c:y val="0.17475"/>
          <c:w val="0.9135"/>
          <c:h val="0.74525"/>
        </c:manualLayout>
      </c:layout>
      <c:lineChart>
        <c:grouping val="standard"/>
        <c:varyColors val="0"/>
        <c:ser>
          <c:idx val="4"/>
          <c:order val="0"/>
          <c:tx>
            <c:v>2007 Needed for 2</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'2007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'2007 Score Comb DATA'!$N$2:$N$72</c:f>
              <c:numCache>
                <c:ptCount val="71"/>
                <c:pt idx="0">
                  <c:v>12.150121501215013</c:v>
                </c:pt>
                <c:pt idx="1">
                  <c:v>12.150121501215013</c:v>
                </c:pt>
                <c:pt idx="2">
                  <c:v>12.150121501215013</c:v>
                </c:pt>
                <c:pt idx="3">
                  <c:v>12.150121501215013</c:v>
                </c:pt>
                <c:pt idx="4">
                  <c:v>12.150121501215013</c:v>
                </c:pt>
                <c:pt idx="5">
                  <c:v>12.150121501215013</c:v>
                </c:pt>
                <c:pt idx="6">
                  <c:v>12.150121501215013</c:v>
                </c:pt>
                <c:pt idx="7">
                  <c:v>12.150121501215013</c:v>
                </c:pt>
                <c:pt idx="8">
                  <c:v>12.150121501215013</c:v>
                </c:pt>
                <c:pt idx="9">
                  <c:v>12.150121501215013</c:v>
                </c:pt>
                <c:pt idx="10">
                  <c:v>12.150121501215013</c:v>
                </c:pt>
                <c:pt idx="11">
                  <c:v>12.150121501215013</c:v>
                </c:pt>
                <c:pt idx="12">
                  <c:v>12.150121501215013</c:v>
                </c:pt>
                <c:pt idx="13">
                  <c:v>12.150121501215013</c:v>
                </c:pt>
                <c:pt idx="14">
                  <c:v>12.150121501215013</c:v>
                </c:pt>
                <c:pt idx="15">
                  <c:v>11.667973822595368</c:v>
                </c:pt>
                <c:pt idx="16">
                  <c:v>11.185826143975726</c:v>
                </c:pt>
                <c:pt idx="17">
                  <c:v>10.703678465356083</c:v>
                </c:pt>
                <c:pt idx="18">
                  <c:v>10.221530786736439</c:v>
                </c:pt>
                <c:pt idx="19">
                  <c:v>9.739383108116796</c:v>
                </c:pt>
                <c:pt idx="20">
                  <c:v>9.257235429497152</c:v>
                </c:pt>
                <c:pt idx="21">
                  <c:v>8.775087750877509</c:v>
                </c:pt>
                <c:pt idx="22">
                  <c:v>8.292940072257867</c:v>
                </c:pt>
                <c:pt idx="23">
                  <c:v>7.810792393638223</c:v>
                </c:pt>
                <c:pt idx="24">
                  <c:v>7.328644715018578</c:v>
                </c:pt>
                <c:pt idx="25">
                  <c:v>6.846497036398936</c:v>
                </c:pt>
                <c:pt idx="26">
                  <c:v>6.364349357779293</c:v>
                </c:pt>
                <c:pt idx="27">
                  <c:v>5.88220167915965</c:v>
                </c:pt>
                <c:pt idx="28">
                  <c:v>5.400054000540005</c:v>
                </c:pt>
                <c:pt idx="29">
                  <c:v>4.917906321920363</c:v>
                </c:pt>
                <c:pt idx="30">
                  <c:v>4.435758643300719</c:v>
                </c:pt>
                <c:pt idx="31">
                  <c:v>3.9536109646810766</c:v>
                </c:pt>
                <c:pt idx="32">
                  <c:v>3.4714632860614327</c:v>
                </c:pt>
                <c:pt idx="33">
                  <c:v>2.9893156074417884</c:v>
                </c:pt>
                <c:pt idx="34">
                  <c:v>2.5071679288221462</c:v>
                </c:pt>
                <c:pt idx="35">
                  <c:v>2.025020250202502</c:v>
                </c:pt>
                <c:pt idx="36">
                  <c:v>1.5428725715828597</c:v>
                </c:pt>
                <c:pt idx="37">
                  <c:v>1.0607248929632156</c:v>
                </c:pt>
                <c:pt idx="38">
                  <c:v>0.5785772143435731</c:v>
                </c:pt>
                <c:pt idx="39">
                  <c:v>0.09642953572392912</c:v>
                </c:pt>
                <c:pt idx="40">
                  <c:v>-0.3857181428957133</c:v>
                </c:pt>
                <c:pt idx="41">
                  <c:v>-0.8678658215153573</c:v>
                </c:pt>
                <c:pt idx="42">
                  <c:v>-1.3500135001350013</c:v>
                </c:pt>
                <c:pt idx="43">
                  <c:v>-1.832161178754644</c:v>
                </c:pt>
                <c:pt idx="44">
                  <c:v>-2.3143088573742863</c:v>
                </c:pt>
                <c:pt idx="45">
                  <c:v>-2.796456535993932</c:v>
                </c:pt>
                <c:pt idx="46">
                  <c:v>-3.2786042146135745</c:v>
                </c:pt>
                <c:pt idx="47">
                  <c:v>-3.7607518932332167</c:v>
                </c:pt>
                <c:pt idx="48">
                  <c:v>-4.242899571852859</c:v>
                </c:pt>
                <c:pt idx="49">
                  <c:v>-4.725047250472505</c:v>
                </c:pt>
                <c:pt idx="50">
                  <c:v>-5.2071949290921475</c:v>
                </c:pt>
                <c:pt idx="51">
                  <c:v>-5.68934260771179</c:v>
                </c:pt>
                <c:pt idx="52">
                  <c:v>-6.171490286331435</c:v>
                </c:pt>
                <c:pt idx="53">
                  <c:v>-6.653637964951078</c:v>
                </c:pt>
                <c:pt idx="54">
                  <c:v>-7.1357856435707205</c:v>
                </c:pt>
                <c:pt idx="55">
                  <c:v>-7.617933322190362</c:v>
                </c:pt>
                <c:pt idx="56">
                  <c:v>-8.100081000810007</c:v>
                </c:pt>
                <c:pt idx="57">
                  <c:v>-8.582228679429651</c:v>
                </c:pt>
                <c:pt idx="58">
                  <c:v>-9.064376358049293</c:v>
                </c:pt>
                <c:pt idx="59">
                  <c:v>-9.546524036668936</c:v>
                </c:pt>
                <c:pt idx="60">
                  <c:v>-10.028671715288581</c:v>
                </c:pt>
                <c:pt idx="61">
                  <c:v>-10.510819393908223</c:v>
                </c:pt>
                <c:pt idx="62">
                  <c:v>-10.992967072527867</c:v>
                </c:pt>
                <c:pt idx="63">
                  <c:v>-11.475114751147512</c:v>
                </c:pt>
                <c:pt idx="64">
                  <c:v>-11.957262429767153</c:v>
                </c:pt>
                <c:pt idx="65">
                  <c:v>-12.439410108386797</c:v>
                </c:pt>
                <c:pt idx="66">
                  <c:v>-12.921557787006439</c:v>
                </c:pt>
                <c:pt idx="67">
                  <c:v>-13.403705465626084</c:v>
                </c:pt>
                <c:pt idx="68">
                  <c:v>-13.885853144245727</c:v>
                </c:pt>
                <c:pt idx="69">
                  <c:v>-14.368000822865369</c:v>
                </c:pt>
                <c:pt idx="70">
                  <c:v>-14.850148501485014</c:v>
                </c:pt>
              </c:numCache>
            </c:numRef>
          </c:val>
          <c:smooth val="0"/>
        </c:ser>
        <c:ser>
          <c:idx val="5"/>
          <c:order val="1"/>
          <c:tx>
            <c:v>2007 Needed for 3</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'2007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'2007 Score Comb DATA'!$O$2:$O$72</c:f>
              <c:numCache>
                <c:ptCount val="71"/>
                <c:pt idx="0">
                  <c:v>19.35019350193502</c:v>
                </c:pt>
                <c:pt idx="1">
                  <c:v>19.35019350193502</c:v>
                </c:pt>
                <c:pt idx="2">
                  <c:v>19.35019350193502</c:v>
                </c:pt>
                <c:pt idx="3">
                  <c:v>19.35019350193502</c:v>
                </c:pt>
                <c:pt idx="4">
                  <c:v>19.35019350193502</c:v>
                </c:pt>
                <c:pt idx="5">
                  <c:v>19.35019350193502</c:v>
                </c:pt>
                <c:pt idx="6">
                  <c:v>19.35019350193502</c:v>
                </c:pt>
                <c:pt idx="7">
                  <c:v>19.35019350193502</c:v>
                </c:pt>
                <c:pt idx="8">
                  <c:v>19.35019350193502</c:v>
                </c:pt>
                <c:pt idx="9">
                  <c:v>19.35019350193502</c:v>
                </c:pt>
                <c:pt idx="10">
                  <c:v>19.35019350193502</c:v>
                </c:pt>
                <c:pt idx="11">
                  <c:v>19.35019350193502</c:v>
                </c:pt>
                <c:pt idx="12">
                  <c:v>19.35019350193502</c:v>
                </c:pt>
                <c:pt idx="13">
                  <c:v>19.35019350193502</c:v>
                </c:pt>
                <c:pt idx="14">
                  <c:v>19.35019350193502</c:v>
                </c:pt>
                <c:pt idx="15">
                  <c:v>18.868045823315377</c:v>
                </c:pt>
                <c:pt idx="16">
                  <c:v>18.38589814469573</c:v>
                </c:pt>
                <c:pt idx="17">
                  <c:v>17.90375046607609</c:v>
                </c:pt>
                <c:pt idx="18">
                  <c:v>17.421602787456447</c:v>
                </c:pt>
                <c:pt idx="19">
                  <c:v>16.939455108836803</c:v>
                </c:pt>
                <c:pt idx="20">
                  <c:v>16.45730743021716</c:v>
                </c:pt>
                <c:pt idx="21">
                  <c:v>15.975159751597516</c:v>
                </c:pt>
                <c:pt idx="22">
                  <c:v>15.493012072977875</c:v>
                </c:pt>
                <c:pt idx="23">
                  <c:v>15.010864394358231</c:v>
                </c:pt>
                <c:pt idx="24">
                  <c:v>14.528716715738586</c:v>
                </c:pt>
                <c:pt idx="25">
                  <c:v>14.046569037118944</c:v>
                </c:pt>
                <c:pt idx="26">
                  <c:v>13.5644213584993</c:v>
                </c:pt>
                <c:pt idx="27">
                  <c:v>13.082273679879657</c:v>
                </c:pt>
                <c:pt idx="28">
                  <c:v>12.600126001260012</c:v>
                </c:pt>
                <c:pt idx="29">
                  <c:v>12.11797832264037</c:v>
                </c:pt>
                <c:pt idx="30">
                  <c:v>11.635830644020727</c:v>
                </c:pt>
                <c:pt idx="31">
                  <c:v>11.153682965401083</c:v>
                </c:pt>
                <c:pt idx="32">
                  <c:v>10.67153528678144</c:v>
                </c:pt>
                <c:pt idx="33">
                  <c:v>10.189387608161796</c:v>
                </c:pt>
                <c:pt idx="34">
                  <c:v>9.707239929542153</c:v>
                </c:pt>
                <c:pt idx="35">
                  <c:v>9.22509225092251</c:v>
                </c:pt>
                <c:pt idx="36">
                  <c:v>8.742944572302868</c:v>
                </c:pt>
                <c:pt idx="37">
                  <c:v>8.260796893683223</c:v>
                </c:pt>
                <c:pt idx="38">
                  <c:v>7.778649215063581</c:v>
                </c:pt>
                <c:pt idx="39">
                  <c:v>7.2965015364439365</c:v>
                </c:pt>
                <c:pt idx="40">
                  <c:v>6.814353857824294</c:v>
                </c:pt>
                <c:pt idx="41">
                  <c:v>6.33220617920465</c:v>
                </c:pt>
                <c:pt idx="42">
                  <c:v>5.850058500585006</c:v>
                </c:pt>
                <c:pt idx="43">
                  <c:v>5.3679108219653635</c:v>
                </c:pt>
                <c:pt idx="44">
                  <c:v>4.885763143345721</c:v>
                </c:pt>
                <c:pt idx="45">
                  <c:v>4.403615464726076</c:v>
                </c:pt>
                <c:pt idx="46">
                  <c:v>3.921467786106433</c:v>
                </c:pt>
                <c:pt idx="47">
                  <c:v>3.4393201074867905</c:v>
                </c:pt>
                <c:pt idx="48">
                  <c:v>2.9571724288671484</c:v>
                </c:pt>
                <c:pt idx="49">
                  <c:v>2.4750247502475027</c:v>
                </c:pt>
                <c:pt idx="50">
                  <c:v>1.99287707162786</c:v>
                </c:pt>
                <c:pt idx="51">
                  <c:v>1.5107293930082177</c:v>
                </c:pt>
                <c:pt idx="52">
                  <c:v>1.028581714388572</c:v>
                </c:pt>
                <c:pt idx="53">
                  <c:v>0.5464340357689296</c:v>
                </c:pt>
                <c:pt idx="54">
                  <c:v>0.06428635714928715</c:v>
                </c:pt>
                <c:pt idx="55">
                  <c:v>-0.41786132147035526</c:v>
                </c:pt>
                <c:pt idx="56">
                  <c:v>-0.900009000090001</c:v>
                </c:pt>
                <c:pt idx="57">
                  <c:v>-1.3821566787096433</c:v>
                </c:pt>
                <c:pt idx="58">
                  <c:v>-1.864304357329286</c:v>
                </c:pt>
                <c:pt idx="59">
                  <c:v>-2.346452035948928</c:v>
                </c:pt>
                <c:pt idx="60">
                  <c:v>-2.8285997145685737</c:v>
                </c:pt>
                <c:pt idx="61">
                  <c:v>-3.3107473931882163</c:v>
                </c:pt>
                <c:pt idx="62">
                  <c:v>-3.792895071807859</c:v>
                </c:pt>
                <c:pt idx="63">
                  <c:v>-4.275042750427504</c:v>
                </c:pt>
                <c:pt idx="64">
                  <c:v>-4.757190429047147</c:v>
                </c:pt>
                <c:pt idx="65">
                  <c:v>-5.239338107666789</c:v>
                </c:pt>
                <c:pt idx="66">
                  <c:v>-5.721485786286432</c:v>
                </c:pt>
                <c:pt idx="67">
                  <c:v>-6.203633464906077</c:v>
                </c:pt>
                <c:pt idx="68">
                  <c:v>-6.68578114352572</c:v>
                </c:pt>
                <c:pt idx="69">
                  <c:v>-7.167928822145362</c:v>
                </c:pt>
                <c:pt idx="70">
                  <c:v>-7.650076500765008</c:v>
                </c:pt>
              </c:numCache>
            </c:numRef>
          </c:val>
          <c:smooth val="0"/>
        </c:ser>
        <c:ser>
          <c:idx val="6"/>
          <c:order val="2"/>
          <c:tx>
            <c:v>2007 Needed for 4</c:v>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'2007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'2007 Score Comb DATA'!$P$2:$P$72</c:f>
              <c:numCache>
                <c:ptCount val="71"/>
                <c:pt idx="0">
                  <c:v>27.000270002700027</c:v>
                </c:pt>
                <c:pt idx="1">
                  <c:v>27.000270002700027</c:v>
                </c:pt>
                <c:pt idx="2">
                  <c:v>27.000270002700027</c:v>
                </c:pt>
                <c:pt idx="3">
                  <c:v>27.000270002700027</c:v>
                </c:pt>
                <c:pt idx="4">
                  <c:v>27.000270002700027</c:v>
                </c:pt>
                <c:pt idx="5">
                  <c:v>27.000270002700027</c:v>
                </c:pt>
                <c:pt idx="6">
                  <c:v>27.000270002700027</c:v>
                </c:pt>
                <c:pt idx="7">
                  <c:v>27.000270002700027</c:v>
                </c:pt>
                <c:pt idx="8">
                  <c:v>27.000270002700027</c:v>
                </c:pt>
                <c:pt idx="9">
                  <c:v>27.000270002700027</c:v>
                </c:pt>
                <c:pt idx="10">
                  <c:v>27.000270002700027</c:v>
                </c:pt>
                <c:pt idx="11">
                  <c:v>27.000270002700027</c:v>
                </c:pt>
                <c:pt idx="12">
                  <c:v>27.000270002700027</c:v>
                </c:pt>
                <c:pt idx="13">
                  <c:v>27.000270002700027</c:v>
                </c:pt>
                <c:pt idx="14">
                  <c:v>27.000270002700027</c:v>
                </c:pt>
                <c:pt idx="15">
                  <c:v>26.518122324080384</c:v>
                </c:pt>
                <c:pt idx="16">
                  <c:v>26.03597464546074</c:v>
                </c:pt>
                <c:pt idx="17">
                  <c:v>25.553826966841097</c:v>
                </c:pt>
                <c:pt idx="18">
                  <c:v>25.071679288221453</c:v>
                </c:pt>
                <c:pt idx="19">
                  <c:v>24.589531609601813</c:v>
                </c:pt>
                <c:pt idx="20">
                  <c:v>24.107383930982166</c:v>
                </c:pt>
                <c:pt idx="21">
                  <c:v>23.625236252362523</c:v>
                </c:pt>
                <c:pt idx="22">
                  <c:v>23.143088573742883</c:v>
                </c:pt>
                <c:pt idx="23">
                  <c:v>22.66094089512324</c:v>
                </c:pt>
                <c:pt idx="24">
                  <c:v>22.178793216503593</c:v>
                </c:pt>
                <c:pt idx="25">
                  <c:v>21.696645537883953</c:v>
                </c:pt>
                <c:pt idx="26">
                  <c:v>21.21449785926431</c:v>
                </c:pt>
                <c:pt idx="27">
                  <c:v>20.732350180644662</c:v>
                </c:pt>
                <c:pt idx="28">
                  <c:v>20.250202502025022</c:v>
                </c:pt>
                <c:pt idx="29">
                  <c:v>19.76805482340538</c:v>
                </c:pt>
                <c:pt idx="30">
                  <c:v>19.285907144785735</c:v>
                </c:pt>
                <c:pt idx="31">
                  <c:v>18.803759466166092</c:v>
                </c:pt>
                <c:pt idx="32">
                  <c:v>18.32161178754645</c:v>
                </c:pt>
                <c:pt idx="33">
                  <c:v>17.8394641089268</c:v>
                </c:pt>
                <c:pt idx="34">
                  <c:v>17.35731643030716</c:v>
                </c:pt>
                <c:pt idx="35">
                  <c:v>16.875168751687518</c:v>
                </c:pt>
                <c:pt idx="36">
                  <c:v>16.393021073067874</c:v>
                </c:pt>
                <c:pt idx="37">
                  <c:v>15.910873394448233</c:v>
                </c:pt>
                <c:pt idx="38">
                  <c:v>15.42872571582859</c:v>
                </c:pt>
                <c:pt idx="39">
                  <c:v>14.946578037208944</c:v>
                </c:pt>
                <c:pt idx="40">
                  <c:v>14.464430358589302</c:v>
                </c:pt>
                <c:pt idx="41">
                  <c:v>13.982282679969657</c:v>
                </c:pt>
                <c:pt idx="42">
                  <c:v>13.500135001350014</c:v>
                </c:pt>
                <c:pt idx="43">
                  <c:v>13.017987322730372</c:v>
                </c:pt>
                <c:pt idx="44">
                  <c:v>12.535839644110728</c:v>
                </c:pt>
                <c:pt idx="45">
                  <c:v>12.053691965491083</c:v>
                </c:pt>
                <c:pt idx="46">
                  <c:v>11.571544286871442</c:v>
                </c:pt>
                <c:pt idx="47">
                  <c:v>11.089396608251798</c:v>
                </c:pt>
                <c:pt idx="48">
                  <c:v>10.607248929632156</c:v>
                </c:pt>
                <c:pt idx="49">
                  <c:v>10.125101251012511</c:v>
                </c:pt>
                <c:pt idx="50">
                  <c:v>9.642953572392868</c:v>
                </c:pt>
                <c:pt idx="51">
                  <c:v>9.160805893773226</c:v>
                </c:pt>
                <c:pt idx="52">
                  <c:v>8.67865821515358</c:v>
                </c:pt>
                <c:pt idx="53">
                  <c:v>8.196510536533937</c:v>
                </c:pt>
                <c:pt idx="54">
                  <c:v>7.714362857914295</c:v>
                </c:pt>
                <c:pt idx="55">
                  <c:v>7.232215179294653</c:v>
                </c:pt>
                <c:pt idx="56">
                  <c:v>6.750067500675007</c:v>
                </c:pt>
                <c:pt idx="57">
                  <c:v>6.267919822055364</c:v>
                </c:pt>
                <c:pt idx="58">
                  <c:v>5.785772143435722</c:v>
                </c:pt>
                <c:pt idx="59">
                  <c:v>5.30362446481608</c:v>
                </c:pt>
                <c:pt idx="60">
                  <c:v>4.821476786196434</c:v>
                </c:pt>
                <c:pt idx="61">
                  <c:v>4.339329107576791</c:v>
                </c:pt>
                <c:pt idx="62">
                  <c:v>3.857181428957149</c:v>
                </c:pt>
                <c:pt idx="63">
                  <c:v>3.3750337503375034</c:v>
                </c:pt>
                <c:pt idx="64">
                  <c:v>2.892886071717861</c:v>
                </c:pt>
                <c:pt idx="65">
                  <c:v>2.4107383930982187</c:v>
                </c:pt>
                <c:pt idx="66">
                  <c:v>1.928590714478576</c:v>
                </c:pt>
                <c:pt idx="67">
                  <c:v>1.4464430358589304</c:v>
                </c:pt>
                <c:pt idx="68">
                  <c:v>0.964295357239288</c:v>
                </c:pt>
                <c:pt idx="69">
                  <c:v>0.48214767861964564</c:v>
                </c:pt>
                <c:pt idx="70">
                  <c:v>0</c:v>
                </c:pt>
              </c:numCache>
            </c:numRef>
          </c:val>
          <c:smooth val="0"/>
        </c:ser>
        <c:ser>
          <c:idx val="7"/>
          <c:order val="3"/>
          <c:tx>
            <c:v>2007 Needed for 5</c:v>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'2007 Score Comb DATA'!$K$2:$K$72</c:f>
              <c:numCache>
                <c:ptCount val="71"/>
                <c:pt idx="0">
                  <c:v>0</c:v>
                </c:pt>
                <c:pt idx="1">
                  <c:v>0.014285714285714285</c:v>
                </c:pt>
                <c:pt idx="2">
                  <c:v>0.02857142857142857</c:v>
                </c:pt>
                <c:pt idx="3">
                  <c:v>0.04285714285714286</c:v>
                </c:pt>
                <c:pt idx="4">
                  <c:v>0.05714285714285714</c:v>
                </c:pt>
                <c:pt idx="5">
                  <c:v>0.07142857142857142</c:v>
                </c:pt>
                <c:pt idx="6">
                  <c:v>0.08571428571428572</c:v>
                </c:pt>
                <c:pt idx="7">
                  <c:v>0.1</c:v>
                </c:pt>
                <c:pt idx="8">
                  <c:v>0.11428571428571428</c:v>
                </c:pt>
                <c:pt idx="9">
                  <c:v>0.12857142857142856</c:v>
                </c:pt>
                <c:pt idx="10">
                  <c:v>0.14285714285714285</c:v>
                </c:pt>
                <c:pt idx="11">
                  <c:v>0.15714285714285714</c:v>
                </c:pt>
                <c:pt idx="12">
                  <c:v>0.17142857142857143</c:v>
                </c:pt>
                <c:pt idx="13">
                  <c:v>0.18571428571428572</c:v>
                </c:pt>
                <c:pt idx="14">
                  <c:v>0.2</c:v>
                </c:pt>
                <c:pt idx="15">
                  <c:v>0.21428571428571427</c:v>
                </c:pt>
                <c:pt idx="16">
                  <c:v>0.22857142857142856</c:v>
                </c:pt>
                <c:pt idx="17">
                  <c:v>0.24285714285714285</c:v>
                </c:pt>
                <c:pt idx="18">
                  <c:v>0.2571428571428571</c:v>
                </c:pt>
                <c:pt idx="19">
                  <c:v>0.2714285714285714</c:v>
                </c:pt>
                <c:pt idx="20">
                  <c:v>0.2857142857142857</c:v>
                </c:pt>
                <c:pt idx="21">
                  <c:v>0.3</c:v>
                </c:pt>
                <c:pt idx="22">
                  <c:v>0.3142857142857143</c:v>
                </c:pt>
                <c:pt idx="23">
                  <c:v>0.32857142857142857</c:v>
                </c:pt>
                <c:pt idx="24">
                  <c:v>0.34285714285714286</c:v>
                </c:pt>
                <c:pt idx="25">
                  <c:v>0.35714285714285715</c:v>
                </c:pt>
                <c:pt idx="26">
                  <c:v>0.37142857142857144</c:v>
                </c:pt>
                <c:pt idx="27">
                  <c:v>0.38571428571428573</c:v>
                </c:pt>
                <c:pt idx="28">
                  <c:v>0.4</c:v>
                </c:pt>
                <c:pt idx="29">
                  <c:v>0.4142857142857143</c:v>
                </c:pt>
                <c:pt idx="30">
                  <c:v>0.42857142857142855</c:v>
                </c:pt>
                <c:pt idx="31">
                  <c:v>0.44285714285714284</c:v>
                </c:pt>
                <c:pt idx="32">
                  <c:v>0.45714285714285713</c:v>
                </c:pt>
                <c:pt idx="33">
                  <c:v>0.4714285714285714</c:v>
                </c:pt>
                <c:pt idx="34">
                  <c:v>0.4857142857142857</c:v>
                </c:pt>
                <c:pt idx="35">
                  <c:v>0.5</c:v>
                </c:pt>
                <c:pt idx="36">
                  <c:v>0.5142857142857142</c:v>
                </c:pt>
                <c:pt idx="37">
                  <c:v>0.5285714285714286</c:v>
                </c:pt>
                <c:pt idx="38">
                  <c:v>0.5428571428571428</c:v>
                </c:pt>
                <c:pt idx="39">
                  <c:v>0.5571428571428572</c:v>
                </c:pt>
                <c:pt idx="40">
                  <c:v>0.5714285714285714</c:v>
                </c:pt>
                <c:pt idx="41">
                  <c:v>0.5857142857142857</c:v>
                </c:pt>
                <c:pt idx="42">
                  <c:v>0.6</c:v>
                </c:pt>
                <c:pt idx="43">
                  <c:v>0.6142857142857143</c:v>
                </c:pt>
                <c:pt idx="44">
                  <c:v>0.6285714285714286</c:v>
                </c:pt>
                <c:pt idx="45">
                  <c:v>0.6428571428571429</c:v>
                </c:pt>
                <c:pt idx="46">
                  <c:v>0.6571428571428571</c:v>
                </c:pt>
                <c:pt idx="47">
                  <c:v>0.6714285714285714</c:v>
                </c:pt>
                <c:pt idx="48">
                  <c:v>0.6857142857142857</c:v>
                </c:pt>
                <c:pt idx="49">
                  <c:v>0.7</c:v>
                </c:pt>
                <c:pt idx="50">
                  <c:v>0.7142857142857143</c:v>
                </c:pt>
                <c:pt idx="51">
                  <c:v>0.7285714285714285</c:v>
                </c:pt>
                <c:pt idx="52">
                  <c:v>0.7428571428571429</c:v>
                </c:pt>
                <c:pt idx="53">
                  <c:v>0.7571428571428571</c:v>
                </c:pt>
                <c:pt idx="54">
                  <c:v>0.7714285714285715</c:v>
                </c:pt>
                <c:pt idx="55">
                  <c:v>0.7857142857142857</c:v>
                </c:pt>
                <c:pt idx="56">
                  <c:v>0.8</c:v>
                </c:pt>
                <c:pt idx="57">
                  <c:v>0.8142857142857143</c:v>
                </c:pt>
                <c:pt idx="58">
                  <c:v>0.8285714285714286</c:v>
                </c:pt>
                <c:pt idx="59">
                  <c:v>0.8428571428571429</c:v>
                </c:pt>
                <c:pt idx="60">
                  <c:v>0.8571428571428571</c:v>
                </c:pt>
                <c:pt idx="61">
                  <c:v>0.8714285714285714</c:v>
                </c:pt>
                <c:pt idx="62">
                  <c:v>0.8857142857142857</c:v>
                </c:pt>
                <c:pt idx="63">
                  <c:v>0.9</c:v>
                </c:pt>
                <c:pt idx="64">
                  <c:v>0.9142857142857143</c:v>
                </c:pt>
                <c:pt idx="65">
                  <c:v>0.9285714285714286</c:v>
                </c:pt>
                <c:pt idx="66">
                  <c:v>0.9428571428571428</c:v>
                </c:pt>
                <c:pt idx="67">
                  <c:v>0.9571428571428572</c:v>
                </c:pt>
                <c:pt idx="68">
                  <c:v>0.9714285714285714</c:v>
                </c:pt>
                <c:pt idx="69">
                  <c:v>0.9857142857142858</c:v>
                </c:pt>
                <c:pt idx="70">
                  <c:v>1</c:v>
                </c:pt>
              </c:numCache>
            </c:numRef>
          </c:cat>
          <c:val>
            <c:numRef>
              <c:f>'2007 Score Comb DATA'!$Q$2:$Q$72</c:f>
              <c:numCache>
                <c:ptCount val="71"/>
                <c:pt idx="0">
                  <c:v>33.30033300333003</c:v>
                </c:pt>
                <c:pt idx="1">
                  <c:v>33.30033300333003</c:v>
                </c:pt>
                <c:pt idx="2">
                  <c:v>33.30033300333003</c:v>
                </c:pt>
                <c:pt idx="3">
                  <c:v>33.30033300333003</c:v>
                </c:pt>
                <c:pt idx="4">
                  <c:v>33.30033300333003</c:v>
                </c:pt>
                <c:pt idx="5">
                  <c:v>33.30033300333003</c:v>
                </c:pt>
                <c:pt idx="6">
                  <c:v>33.30033300333003</c:v>
                </c:pt>
                <c:pt idx="7">
                  <c:v>33.30033300333003</c:v>
                </c:pt>
                <c:pt idx="8">
                  <c:v>33.30033300333003</c:v>
                </c:pt>
                <c:pt idx="9">
                  <c:v>33.30033300333003</c:v>
                </c:pt>
                <c:pt idx="10">
                  <c:v>33.30033300333003</c:v>
                </c:pt>
                <c:pt idx="11">
                  <c:v>33.30033300333003</c:v>
                </c:pt>
                <c:pt idx="12">
                  <c:v>33.30033300333003</c:v>
                </c:pt>
                <c:pt idx="13">
                  <c:v>33.30033300333003</c:v>
                </c:pt>
                <c:pt idx="14">
                  <c:v>33.30033300333003</c:v>
                </c:pt>
                <c:pt idx="15">
                  <c:v>32.81818532471039</c:v>
                </c:pt>
                <c:pt idx="16">
                  <c:v>32.33603764609075</c:v>
                </c:pt>
                <c:pt idx="17">
                  <c:v>31.85388996747111</c:v>
                </c:pt>
                <c:pt idx="18">
                  <c:v>31.371742288851458</c:v>
                </c:pt>
                <c:pt idx="19">
                  <c:v>30.889594610231814</c:v>
                </c:pt>
                <c:pt idx="20">
                  <c:v>30.407446931612174</c:v>
                </c:pt>
                <c:pt idx="21">
                  <c:v>29.92529925299253</c:v>
                </c:pt>
                <c:pt idx="22">
                  <c:v>29.443151574372887</c:v>
                </c:pt>
                <c:pt idx="23">
                  <c:v>28.961003895753247</c:v>
                </c:pt>
                <c:pt idx="24">
                  <c:v>28.4788562171336</c:v>
                </c:pt>
                <c:pt idx="25">
                  <c:v>27.996708538513957</c:v>
                </c:pt>
                <c:pt idx="26">
                  <c:v>27.514560859894313</c:v>
                </c:pt>
                <c:pt idx="27">
                  <c:v>27.03241318127467</c:v>
                </c:pt>
                <c:pt idx="28">
                  <c:v>26.550265502655026</c:v>
                </c:pt>
                <c:pt idx="29">
                  <c:v>26.068117824035383</c:v>
                </c:pt>
                <c:pt idx="30">
                  <c:v>25.585970145415743</c:v>
                </c:pt>
                <c:pt idx="31">
                  <c:v>25.1038224667961</c:v>
                </c:pt>
                <c:pt idx="32">
                  <c:v>24.621674788176453</c:v>
                </c:pt>
                <c:pt idx="33">
                  <c:v>24.13952710955681</c:v>
                </c:pt>
                <c:pt idx="34">
                  <c:v>23.657379430937166</c:v>
                </c:pt>
                <c:pt idx="35">
                  <c:v>23.175231752317522</c:v>
                </c:pt>
                <c:pt idx="36">
                  <c:v>22.693084073697882</c:v>
                </c:pt>
                <c:pt idx="37">
                  <c:v>22.21093639507824</c:v>
                </c:pt>
                <c:pt idx="38">
                  <c:v>21.728788716458595</c:v>
                </c:pt>
                <c:pt idx="39">
                  <c:v>21.246641037838952</c:v>
                </c:pt>
                <c:pt idx="40">
                  <c:v>20.76449335921931</c:v>
                </c:pt>
                <c:pt idx="41">
                  <c:v>20.28234568059966</c:v>
                </c:pt>
                <c:pt idx="42">
                  <c:v>19.80019800198002</c:v>
                </c:pt>
                <c:pt idx="43">
                  <c:v>19.318050323360378</c:v>
                </c:pt>
                <c:pt idx="44">
                  <c:v>18.835902644740735</c:v>
                </c:pt>
                <c:pt idx="45">
                  <c:v>18.35375496612109</c:v>
                </c:pt>
                <c:pt idx="46">
                  <c:v>17.871607287501448</c:v>
                </c:pt>
                <c:pt idx="47">
                  <c:v>17.389459608881804</c:v>
                </c:pt>
                <c:pt idx="48">
                  <c:v>16.907311930262164</c:v>
                </c:pt>
                <c:pt idx="49">
                  <c:v>16.425164251642517</c:v>
                </c:pt>
                <c:pt idx="50">
                  <c:v>15.943016573022874</c:v>
                </c:pt>
                <c:pt idx="51">
                  <c:v>15.460868894403232</c:v>
                </c:pt>
                <c:pt idx="52">
                  <c:v>14.978721215783587</c:v>
                </c:pt>
                <c:pt idx="53">
                  <c:v>14.496573537163943</c:v>
                </c:pt>
                <c:pt idx="54">
                  <c:v>14.014425858544302</c:v>
                </c:pt>
                <c:pt idx="55">
                  <c:v>13.532278179924658</c:v>
                </c:pt>
                <c:pt idx="56">
                  <c:v>13.050130501305013</c:v>
                </c:pt>
                <c:pt idx="57">
                  <c:v>12.567982822685371</c:v>
                </c:pt>
                <c:pt idx="58">
                  <c:v>12.085835144065728</c:v>
                </c:pt>
                <c:pt idx="59">
                  <c:v>11.603687465446086</c:v>
                </c:pt>
                <c:pt idx="60">
                  <c:v>11.12153978682644</c:v>
                </c:pt>
                <c:pt idx="61">
                  <c:v>10.639392108206797</c:v>
                </c:pt>
                <c:pt idx="62">
                  <c:v>10.157244429587156</c:v>
                </c:pt>
                <c:pt idx="63">
                  <c:v>9.67509675096751</c:v>
                </c:pt>
                <c:pt idx="64">
                  <c:v>9.192949072347867</c:v>
                </c:pt>
                <c:pt idx="65">
                  <c:v>8.710801393728225</c:v>
                </c:pt>
                <c:pt idx="66">
                  <c:v>8.228653715108583</c:v>
                </c:pt>
                <c:pt idx="67">
                  <c:v>7.746506036488937</c:v>
                </c:pt>
                <c:pt idx="68">
                  <c:v>7.264358357869295</c:v>
                </c:pt>
                <c:pt idx="69">
                  <c:v>6.782210679249652</c:v>
                </c:pt>
                <c:pt idx="70">
                  <c:v>6.300063000630006</c:v>
                </c:pt>
              </c:numCache>
            </c:numRef>
          </c:val>
          <c:smooth val="0"/>
        </c:ser>
        <c:ser>
          <c:idx val="2"/>
          <c:order val="4"/>
          <c:tx>
            <c:v>2002 Needed for 4</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'2002 Score Comb DATA'!$P$2:$P$72</c:f>
              <c:numCache>
                <c:ptCount val="71"/>
                <c:pt idx="0">
                  <c:v>27.90027900279003</c:v>
                </c:pt>
                <c:pt idx="1">
                  <c:v>27.90027900279003</c:v>
                </c:pt>
                <c:pt idx="2">
                  <c:v>27.90027900279003</c:v>
                </c:pt>
                <c:pt idx="3">
                  <c:v>27.90027900279003</c:v>
                </c:pt>
                <c:pt idx="4">
                  <c:v>27.90027900279003</c:v>
                </c:pt>
                <c:pt idx="5">
                  <c:v>27.90027900279003</c:v>
                </c:pt>
                <c:pt idx="6">
                  <c:v>27.90027900279003</c:v>
                </c:pt>
                <c:pt idx="7">
                  <c:v>27.90027900279003</c:v>
                </c:pt>
                <c:pt idx="8">
                  <c:v>27.90027900279003</c:v>
                </c:pt>
                <c:pt idx="9">
                  <c:v>27.90027900279003</c:v>
                </c:pt>
                <c:pt idx="10">
                  <c:v>27.90027900279003</c:v>
                </c:pt>
                <c:pt idx="11">
                  <c:v>27.90027900279003</c:v>
                </c:pt>
                <c:pt idx="12">
                  <c:v>27.90027900279003</c:v>
                </c:pt>
                <c:pt idx="13">
                  <c:v>27.90027900279003</c:v>
                </c:pt>
                <c:pt idx="14">
                  <c:v>27.90027900279003</c:v>
                </c:pt>
                <c:pt idx="15">
                  <c:v>27.418131324170385</c:v>
                </c:pt>
                <c:pt idx="16">
                  <c:v>26.935983645550742</c:v>
                </c:pt>
                <c:pt idx="17">
                  <c:v>26.4538359669311</c:v>
                </c:pt>
                <c:pt idx="18">
                  <c:v>25.971688288311455</c:v>
                </c:pt>
                <c:pt idx="19">
                  <c:v>25.48954060969181</c:v>
                </c:pt>
                <c:pt idx="20">
                  <c:v>25.007392931072168</c:v>
                </c:pt>
                <c:pt idx="21">
                  <c:v>24.525245252452525</c:v>
                </c:pt>
                <c:pt idx="22">
                  <c:v>24.04309757383288</c:v>
                </c:pt>
                <c:pt idx="23">
                  <c:v>23.56094989521324</c:v>
                </c:pt>
                <c:pt idx="24">
                  <c:v>23.078802216593594</c:v>
                </c:pt>
                <c:pt idx="25">
                  <c:v>22.59665453797395</c:v>
                </c:pt>
                <c:pt idx="26">
                  <c:v>22.11450685935431</c:v>
                </c:pt>
                <c:pt idx="27">
                  <c:v>21.632359180734664</c:v>
                </c:pt>
                <c:pt idx="28">
                  <c:v>21.15021150211502</c:v>
                </c:pt>
                <c:pt idx="29">
                  <c:v>20.66806382349538</c:v>
                </c:pt>
                <c:pt idx="30">
                  <c:v>20.185916144875737</c:v>
                </c:pt>
                <c:pt idx="31">
                  <c:v>19.703768466256093</c:v>
                </c:pt>
                <c:pt idx="32">
                  <c:v>19.22162078763645</c:v>
                </c:pt>
                <c:pt idx="33">
                  <c:v>18.739473109016803</c:v>
                </c:pt>
                <c:pt idx="34">
                  <c:v>18.25732543039716</c:v>
                </c:pt>
                <c:pt idx="35">
                  <c:v>17.77517775177752</c:v>
                </c:pt>
                <c:pt idx="36">
                  <c:v>17.293030073157876</c:v>
                </c:pt>
                <c:pt idx="37">
                  <c:v>16.810882394538233</c:v>
                </c:pt>
                <c:pt idx="38">
                  <c:v>16.32873471591859</c:v>
                </c:pt>
                <c:pt idx="39">
                  <c:v>15.846587037298946</c:v>
                </c:pt>
                <c:pt idx="40">
                  <c:v>15.364439358679302</c:v>
                </c:pt>
                <c:pt idx="41">
                  <c:v>14.882291680059657</c:v>
                </c:pt>
                <c:pt idx="42">
                  <c:v>14.400144001440015</c:v>
                </c:pt>
                <c:pt idx="43">
                  <c:v>13.917996322820372</c:v>
                </c:pt>
                <c:pt idx="44">
                  <c:v>13.43584864420073</c:v>
                </c:pt>
                <c:pt idx="45">
                  <c:v>12.953700965581085</c:v>
                </c:pt>
                <c:pt idx="46">
                  <c:v>12.471553286961441</c:v>
                </c:pt>
                <c:pt idx="47">
                  <c:v>11.9894056083418</c:v>
                </c:pt>
                <c:pt idx="48">
                  <c:v>11.507257929722156</c:v>
                </c:pt>
                <c:pt idx="49">
                  <c:v>11.025110251102511</c:v>
                </c:pt>
                <c:pt idx="50">
                  <c:v>10.54296257248287</c:v>
                </c:pt>
                <c:pt idx="51">
                  <c:v>10.060814893863226</c:v>
                </c:pt>
                <c:pt idx="52">
                  <c:v>9.57866721524358</c:v>
                </c:pt>
                <c:pt idx="53">
                  <c:v>9.096519536623939</c:v>
                </c:pt>
                <c:pt idx="54">
                  <c:v>8.614371858004295</c:v>
                </c:pt>
                <c:pt idx="55">
                  <c:v>8.132224179384654</c:v>
                </c:pt>
                <c:pt idx="56">
                  <c:v>7.650076500765008</c:v>
                </c:pt>
                <c:pt idx="57">
                  <c:v>7.167928822145365</c:v>
                </c:pt>
                <c:pt idx="58">
                  <c:v>6.685781143525723</c:v>
                </c:pt>
                <c:pt idx="59">
                  <c:v>6.203633464906081</c:v>
                </c:pt>
                <c:pt idx="60">
                  <c:v>5.721485786286435</c:v>
                </c:pt>
                <c:pt idx="61">
                  <c:v>5.239338107666793</c:v>
                </c:pt>
                <c:pt idx="62">
                  <c:v>4.75719042904715</c:v>
                </c:pt>
                <c:pt idx="63">
                  <c:v>4.275042750427504</c:v>
                </c:pt>
                <c:pt idx="64">
                  <c:v>3.792895071807862</c:v>
                </c:pt>
                <c:pt idx="65">
                  <c:v>3.3107473931882194</c:v>
                </c:pt>
                <c:pt idx="66">
                  <c:v>2.828599714568577</c:v>
                </c:pt>
                <c:pt idx="67">
                  <c:v>2.3464520359489316</c:v>
                </c:pt>
                <c:pt idx="68">
                  <c:v>1.864304357329289</c:v>
                </c:pt>
                <c:pt idx="69">
                  <c:v>1.3821566787096466</c:v>
                </c:pt>
                <c:pt idx="70">
                  <c:v>0.900009000090001</c:v>
                </c:pt>
              </c:numCache>
            </c:numRef>
          </c:val>
          <c:smooth val="0"/>
        </c:ser>
        <c:ser>
          <c:idx val="3"/>
          <c:order val="5"/>
          <c:tx>
            <c:v>2002 Needed for 5</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'2002 Score Comb DATA'!$Q$2:$Q$72</c:f>
              <c:numCache>
                <c:ptCount val="71"/>
                <c:pt idx="0">
                  <c:v>35.100351003510035</c:v>
                </c:pt>
                <c:pt idx="1">
                  <c:v>35.100351003510035</c:v>
                </c:pt>
                <c:pt idx="2">
                  <c:v>35.100351003510035</c:v>
                </c:pt>
                <c:pt idx="3">
                  <c:v>35.100351003510035</c:v>
                </c:pt>
                <c:pt idx="4">
                  <c:v>35.100351003510035</c:v>
                </c:pt>
                <c:pt idx="5">
                  <c:v>35.100351003510035</c:v>
                </c:pt>
                <c:pt idx="6">
                  <c:v>35.100351003510035</c:v>
                </c:pt>
                <c:pt idx="7">
                  <c:v>35.100351003510035</c:v>
                </c:pt>
                <c:pt idx="8">
                  <c:v>35.100351003510035</c:v>
                </c:pt>
                <c:pt idx="9">
                  <c:v>35.100351003510035</c:v>
                </c:pt>
                <c:pt idx="10">
                  <c:v>35.100351003510035</c:v>
                </c:pt>
                <c:pt idx="11">
                  <c:v>35.100351003510035</c:v>
                </c:pt>
                <c:pt idx="12">
                  <c:v>35.100351003510035</c:v>
                </c:pt>
                <c:pt idx="13">
                  <c:v>35.100351003510035</c:v>
                </c:pt>
                <c:pt idx="14">
                  <c:v>35.100351003510035</c:v>
                </c:pt>
                <c:pt idx="15">
                  <c:v>34.618203324890395</c:v>
                </c:pt>
                <c:pt idx="16">
                  <c:v>34.13605564627075</c:v>
                </c:pt>
                <c:pt idx="17">
                  <c:v>33.65390796765111</c:v>
                </c:pt>
                <c:pt idx="18">
                  <c:v>33.17176028903146</c:v>
                </c:pt>
                <c:pt idx="19">
                  <c:v>32.689612610411814</c:v>
                </c:pt>
                <c:pt idx="20">
                  <c:v>32.207464931792174</c:v>
                </c:pt>
                <c:pt idx="21">
                  <c:v>31.725317253172534</c:v>
                </c:pt>
                <c:pt idx="22">
                  <c:v>31.24316957455289</c:v>
                </c:pt>
                <c:pt idx="23">
                  <c:v>30.761021895933247</c:v>
                </c:pt>
                <c:pt idx="24">
                  <c:v>30.278874217313604</c:v>
                </c:pt>
                <c:pt idx="25">
                  <c:v>29.796726538693964</c:v>
                </c:pt>
                <c:pt idx="26">
                  <c:v>29.314578860074313</c:v>
                </c:pt>
                <c:pt idx="27">
                  <c:v>28.83243118145467</c:v>
                </c:pt>
                <c:pt idx="28">
                  <c:v>28.35028350283503</c:v>
                </c:pt>
                <c:pt idx="29">
                  <c:v>27.868135824215386</c:v>
                </c:pt>
                <c:pt idx="30">
                  <c:v>27.385988145595743</c:v>
                </c:pt>
                <c:pt idx="31">
                  <c:v>26.903840466976103</c:v>
                </c:pt>
                <c:pt idx="32">
                  <c:v>26.421692788356456</c:v>
                </c:pt>
                <c:pt idx="33">
                  <c:v>25.93954510973681</c:v>
                </c:pt>
                <c:pt idx="34">
                  <c:v>25.45739743111717</c:v>
                </c:pt>
                <c:pt idx="35">
                  <c:v>24.975249752497525</c:v>
                </c:pt>
                <c:pt idx="36">
                  <c:v>24.493102073877882</c:v>
                </c:pt>
                <c:pt idx="37">
                  <c:v>24.010954395258242</c:v>
                </c:pt>
                <c:pt idx="38">
                  <c:v>23.5288067166386</c:v>
                </c:pt>
                <c:pt idx="39">
                  <c:v>23.04665903801895</c:v>
                </c:pt>
                <c:pt idx="40">
                  <c:v>22.56451135939931</c:v>
                </c:pt>
                <c:pt idx="41">
                  <c:v>22.082363680779665</c:v>
                </c:pt>
                <c:pt idx="42">
                  <c:v>21.60021600216002</c:v>
                </c:pt>
                <c:pt idx="43">
                  <c:v>21.11806832354038</c:v>
                </c:pt>
                <c:pt idx="44">
                  <c:v>20.635920644920738</c:v>
                </c:pt>
                <c:pt idx="45">
                  <c:v>20.15377296630109</c:v>
                </c:pt>
                <c:pt idx="46">
                  <c:v>19.67162528768145</c:v>
                </c:pt>
                <c:pt idx="47">
                  <c:v>19.189477609061807</c:v>
                </c:pt>
                <c:pt idx="48">
                  <c:v>18.707329930442164</c:v>
                </c:pt>
                <c:pt idx="49">
                  <c:v>18.22518225182252</c:v>
                </c:pt>
                <c:pt idx="50">
                  <c:v>17.743034573202877</c:v>
                </c:pt>
                <c:pt idx="51">
                  <c:v>17.260886894583233</c:v>
                </c:pt>
                <c:pt idx="52">
                  <c:v>16.778739215963586</c:v>
                </c:pt>
                <c:pt idx="53">
                  <c:v>16.296591537343946</c:v>
                </c:pt>
                <c:pt idx="54">
                  <c:v>15.814443858724303</c:v>
                </c:pt>
                <c:pt idx="55">
                  <c:v>15.332296180104661</c:v>
                </c:pt>
                <c:pt idx="56">
                  <c:v>14.850148501485014</c:v>
                </c:pt>
                <c:pt idx="57">
                  <c:v>14.368000822865373</c:v>
                </c:pt>
                <c:pt idx="58">
                  <c:v>13.885853144245731</c:v>
                </c:pt>
                <c:pt idx="59">
                  <c:v>13.403705465626087</c:v>
                </c:pt>
                <c:pt idx="60">
                  <c:v>12.921557787006442</c:v>
                </c:pt>
                <c:pt idx="61">
                  <c:v>12.4394101083868</c:v>
                </c:pt>
                <c:pt idx="62">
                  <c:v>11.957262429767157</c:v>
                </c:pt>
                <c:pt idx="63">
                  <c:v>11.475114751147512</c:v>
                </c:pt>
                <c:pt idx="64">
                  <c:v>10.99296707252787</c:v>
                </c:pt>
                <c:pt idx="65">
                  <c:v>10.510819393908227</c:v>
                </c:pt>
                <c:pt idx="66">
                  <c:v>10.028671715288585</c:v>
                </c:pt>
                <c:pt idx="67">
                  <c:v>9.546524036668938</c:v>
                </c:pt>
                <c:pt idx="68">
                  <c:v>9.064376358049296</c:v>
                </c:pt>
                <c:pt idx="69">
                  <c:v>8.582228679429655</c:v>
                </c:pt>
                <c:pt idx="70">
                  <c:v>8.100081000810007</c:v>
                </c:pt>
              </c:numCache>
            </c:numRef>
          </c:val>
          <c:smooth val="0"/>
        </c:ser>
        <c:axId val="63509574"/>
        <c:axId val="34715255"/>
      </c:lineChart>
      <c:catAx>
        <c:axId val="63509574"/>
        <c:scaling>
          <c:orientation val="minMax"/>
        </c:scaling>
        <c:axPos val="b"/>
        <c:title>
          <c:tx>
            <c:rich>
              <a:bodyPr vert="horz" rot="0" anchor="ctr"/>
              <a:lstStyle/>
              <a:p>
                <a:pPr algn="ctr">
                  <a:defRPr/>
                </a:pPr>
                <a:r>
                  <a:rPr lang="en-US" cap="none" sz="1400" b="1" i="0" u="none" baseline="0"/>
                  <a:t>% of Multiple Choice Questions Answered Correctly
</a:t>
                </a:r>
                <a:r>
                  <a:rPr lang="en-US" cap="none" sz="1200" b="1" i="0" u="none" baseline="0"/>
                  <a:t>(Assumes no skipped questions)</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pPr>
          </a:p>
        </c:txPr>
        <c:crossAx val="34715255"/>
        <c:crosses val="autoZero"/>
        <c:auto val="1"/>
        <c:lblOffset val="100"/>
        <c:tickLblSkip val="3"/>
        <c:noMultiLvlLbl val="0"/>
      </c:catAx>
      <c:valAx>
        <c:axId val="34715255"/>
        <c:scaling>
          <c:orientation val="minMax"/>
          <c:max val="27"/>
          <c:min val="0"/>
        </c:scaling>
        <c:axPos val="l"/>
        <c:title>
          <c:tx>
            <c:rich>
              <a:bodyPr vert="horz" rot="-5400000" anchor="ctr"/>
              <a:lstStyle/>
              <a:p>
                <a:pPr algn="ctr">
                  <a:defRPr/>
                </a:pPr>
                <a:r>
                  <a:rPr lang="en-US" cap="none" sz="1400" b="1" i="0" u="none" baseline="0"/>
                  <a:t>Combined Essay Scores
(DBQ + CCOT + Comparative)</a:t>
                </a:r>
              </a:p>
            </c:rich>
          </c:tx>
          <c:layout/>
          <c:overlay val="0"/>
          <c:spPr>
            <a:noFill/>
            <a:ln>
              <a:noFill/>
            </a:ln>
          </c:spPr>
        </c:title>
        <c:delete val="0"/>
        <c:numFmt formatCode="0" sourceLinked="0"/>
        <c:majorTickMark val="out"/>
        <c:minorTickMark val="none"/>
        <c:tickLblPos val="nextTo"/>
        <c:crossAx val="63509574"/>
        <c:crossesAt val="1"/>
        <c:crossBetween val="between"/>
        <c:dispUnits/>
        <c:majorUnit val="3"/>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2002 AP World History "Bell Curve"
Correlation Between M/C Score and Final Score
</a:t>
            </a:r>
            <a:r>
              <a:rPr lang="en-US" cap="none" sz="1400" b="0" i="0" u="none" baseline="0"/>
              <a:t>If I get x% correct on the multiple choice section, what final score will I likely earn?</a:t>
            </a:r>
          </a:p>
        </c:rich>
      </c:tx>
      <c:layout>
        <c:manualLayout>
          <c:xMode val="factor"/>
          <c:yMode val="factor"/>
          <c:x val="0.0025"/>
          <c:y val="-0.02025"/>
        </c:manualLayout>
      </c:layout>
      <c:spPr>
        <a:noFill/>
        <a:ln>
          <a:noFill/>
        </a:ln>
      </c:spPr>
    </c:title>
    <c:plotArea>
      <c:layout>
        <c:manualLayout>
          <c:xMode val="edge"/>
          <c:yMode val="edge"/>
          <c:x val="0.0375"/>
          <c:y val="0.1605"/>
          <c:w val="0.9515"/>
          <c:h val="0.65825"/>
        </c:manualLayout>
      </c:layout>
      <c:areaChart>
        <c:grouping val="stacked"/>
        <c:varyColors val="0"/>
        <c:ser>
          <c:idx val="0"/>
          <c:order val="0"/>
          <c:tx>
            <c:strRef>
              <c:f>'2002 Score Comb DATA'!$A$35</c:f>
              <c:strCache>
                <c:ptCount val="1"/>
                <c:pt idx="0">
                  <c:v>1</c:v>
                </c:pt>
              </c:strCache>
            </c:strRef>
          </c:tx>
          <c:spPr>
            <a:solidFill>
              <a:srgbClr val="00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00" b="1" i="0" u="none" baseline="0"/>
                </a:pPr>
              </a:p>
            </c:txPr>
            <c:showLegendKey val="0"/>
            <c:showVal val="0"/>
            <c:showBubbleSize val="0"/>
            <c:showCatName val="0"/>
            <c:showSerName val="1"/>
            <c:showPercent val="0"/>
          </c:dLbls>
          <c:cat>
            <c:strRef>
              <c:f>'2002 Score Comb DATA'!$B$34:$G$34</c:f>
              <c:strCache>
                <c:ptCount val="6"/>
                <c:pt idx="0">
                  <c:v>0-33%</c:v>
                </c:pt>
                <c:pt idx="1">
                  <c:v>34-46%</c:v>
                </c:pt>
                <c:pt idx="2">
                  <c:v>47-60%</c:v>
                </c:pt>
                <c:pt idx="3">
                  <c:v>61-73%</c:v>
                </c:pt>
                <c:pt idx="4">
                  <c:v>74-86%</c:v>
                </c:pt>
                <c:pt idx="5">
                  <c:v>87% +</c:v>
                </c:pt>
              </c:strCache>
            </c:strRef>
          </c:cat>
          <c:val>
            <c:numRef>
              <c:f>'2002 Score Comb DATA'!$B$35:$G$35</c:f>
              <c:numCache>
                <c:ptCount val="6"/>
                <c:pt idx="0">
                  <c:v>0.1118</c:v>
                </c:pt>
                <c:pt idx="1">
                  <c:v>0.07</c:v>
                </c:pt>
                <c:pt idx="2">
                  <c:v>0.0029</c:v>
                </c:pt>
                <c:pt idx="3">
                  <c:v>0</c:v>
                </c:pt>
                <c:pt idx="4">
                  <c:v>0</c:v>
                </c:pt>
                <c:pt idx="5">
                  <c:v>0</c:v>
                </c:pt>
              </c:numCache>
            </c:numRef>
          </c:val>
        </c:ser>
        <c:ser>
          <c:idx val="1"/>
          <c:order val="1"/>
          <c:tx>
            <c:strRef>
              <c:f>'2002 Score Comb DATA'!$A$36</c:f>
              <c:strCache>
                <c:ptCount val="1"/>
                <c:pt idx="0">
                  <c:v>2</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00" b="1" i="0" u="none" baseline="0"/>
                </a:pPr>
              </a:p>
            </c:txPr>
            <c:showLegendKey val="0"/>
            <c:showVal val="0"/>
            <c:showBubbleSize val="0"/>
            <c:showCatName val="0"/>
            <c:showSerName val="1"/>
            <c:showPercent val="0"/>
          </c:dLbls>
          <c:cat>
            <c:strRef>
              <c:f>'2002 Score Comb DATA'!$B$34:$G$34</c:f>
              <c:strCache>
                <c:ptCount val="6"/>
                <c:pt idx="0">
                  <c:v>0-33%</c:v>
                </c:pt>
                <c:pt idx="1">
                  <c:v>34-46%</c:v>
                </c:pt>
                <c:pt idx="2">
                  <c:v>47-60%</c:v>
                </c:pt>
                <c:pt idx="3">
                  <c:v>61-73%</c:v>
                </c:pt>
                <c:pt idx="4">
                  <c:v>74-86%</c:v>
                </c:pt>
                <c:pt idx="5">
                  <c:v>87% +</c:v>
                </c:pt>
              </c:strCache>
            </c:strRef>
          </c:cat>
          <c:val>
            <c:numRef>
              <c:f>'2002 Score Comb DATA'!$B$36:$G$36</c:f>
              <c:numCache>
                <c:ptCount val="6"/>
                <c:pt idx="0">
                  <c:v>0.0182</c:v>
                </c:pt>
                <c:pt idx="1">
                  <c:v>0.16520000000000004</c:v>
                </c:pt>
                <c:pt idx="2">
                  <c:v>0.0609</c:v>
                </c:pt>
                <c:pt idx="3">
                  <c:v>0.0021</c:v>
                </c:pt>
                <c:pt idx="4">
                  <c:v>0</c:v>
                </c:pt>
                <c:pt idx="5">
                  <c:v>0</c:v>
                </c:pt>
              </c:numCache>
            </c:numRef>
          </c:val>
        </c:ser>
        <c:ser>
          <c:idx val="2"/>
          <c:order val="2"/>
          <c:tx>
            <c:strRef>
              <c:f>'2002 Score Comb DATA'!$A$37</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600" b="1" i="0" u="none" baseline="0"/>
                </a:pPr>
              </a:p>
            </c:txPr>
            <c:showLegendKey val="0"/>
            <c:showVal val="0"/>
            <c:showBubbleSize val="0"/>
            <c:showCatName val="1"/>
            <c:showSerName val="0"/>
            <c:showPercent val="0"/>
          </c:dLbls>
          <c:cat>
            <c:strRef>
              <c:f>'2002 Score Comb DATA'!$B$34:$G$34</c:f>
              <c:strCache>
                <c:ptCount val="6"/>
                <c:pt idx="0">
                  <c:v>0-33%</c:v>
                </c:pt>
                <c:pt idx="1">
                  <c:v>34-46%</c:v>
                </c:pt>
                <c:pt idx="2">
                  <c:v>47-60%</c:v>
                </c:pt>
                <c:pt idx="3">
                  <c:v>61-73%</c:v>
                </c:pt>
                <c:pt idx="4">
                  <c:v>74-86%</c:v>
                </c:pt>
                <c:pt idx="5">
                  <c:v>87% +</c:v>
                </c:pt>
              </c:strCache>
            </c:strRef>
          </c:cat>
          <c:val>
            <c:numRef>
              <c:f>'2002 Score Comb DATA'!$B$37:$G$37</c:f>
              <c:numCache>
                <c:ptCount val="6"/>
                <c:pt idx="0">
                  <c:v>0</c:v>
                </c:pt>
                <c:pt idx="1">
                  <c:v>0.044800000000000006</c:v>
                </c:pt>
                <c:pt idx="2">
                  <c:v>0.1856</c:v>
                </c:pt>
                <c:pt idx="3">
                  <c:v>0.0588</c:v>
                </c:pt>
                <c:pt idx="4">
                  <c:v>0.0016</c:v>
                </c:pt>
                <c:pt idx="5">
                  <c:v>0</c:v>
                </c:pt>
              </c:numCache>
            </c:numRef>
          </c:val>
        </c:ser>
        <c:ser>
          <c:idx val="3"/>
          <c:order val="3"/>
          <c:tx>
            <c:strRef>
              <c:f>'2002 Score Comb DATA'!$A$38</c:f>
              <c:strCache>
                <c:ptCount val="1"/>
                <c:pt idx="0">
                  <c:v>4</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00" b="1" i="0" u="none" baseline="0"/>
                </a:pPr>
              </a:p>
            </c:txPr>
            <c:showLegendKey val="0"/>
            <c:showVal val="0"/>
            <c:showBubbleSize val="0"/>
            <c:showCatName val="0"/>
            <c:showSerName val="1"/>
            <c:showPercent val="0"/>
          </c:dLbls>
          <c:cat>
            <c:strRef>
              <c:f>'2002 Score Comb DATA'!$B$34:$G$34</c:f>
              <c:strCache>
                <c:ptCount val="6"/>
                <c:pt idx="0">
                  <c:v>0-33%</c:v>
                </c:pt>
                <c:pt idx="1">
                  <c:v>34-46%</c:v>
                </c:pt>
                <c:pt idx="2">
                  <c:v>47-60%</c:v>
                </c:pt>
                <c:pt idx="3">
                  <c:v>61-73%</c:v>
                </c:pt>
                <c:pt idx="4">
                  <c:v>74-86%</c:v>
                </c:pt>
                <c:pt idx="5">
                  <c:v>87% +</c:v>
                </c:pt>
              </c:strCache>
            </c:strRef>
          </c:cat>
          <c:val>
            <c:numRef>
              <c:f>'2002 Score Comb DATA'!$B$38:$G$38</c:f>
              <c:numCache>
                <c:ptCount val="6"/>
                <c:pt idx="0">
                  <c:v>0</c:v>
                </c:pt>
                <c:pt idx="1">
                  <c:v>0</c:v>
                </c:pt>
                <c:pt idx="2">
                  <c:v>0.0377</c:v>
                </c:pt>
                <c:pt idx="3">
                  <c:v>0.11549999999999999</c:v>
                </c:pt>
                <c:pt idx="4">
                  <c:v>0.0216</c:v>
                </c:pt>
                <c:pt idx="5">
                  <c:v>0.0003</c:v>
                </c:pt>
              </c:numCache>
            </c:numRef>
          </c:val>
        </c:ser>
        <c:ser>
          <c:idx val="4"/>
          <c:order val="4"/>
          <c:tx>
            <c:strRef>
              <c:f>'2002 Score Comb DATA'!$A$39</c:f>
              <c:strCache>
                <c:ptCount val="1"/>
                <c:pt idx="0">
                  <c:v>5</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defRPr lang="en-US" cap="none" sz="1600" b="1" i="0" u="none" baseline="0"/>
                </a:pPr>
              </a:p>
            </c:txPr>
            <c:showLegendKey val="0"/>
            <c:showVal val="0"/>
            <c:showBubbleSize val="0"/>
            <c:showCatName val="0"/>
            <c:showSerName val="1"/>
            <c:showPercent val="0"/>
          </c:dLbls>
          <c:cat>
            <c:strRef>
              <c:f>'2002 Score Comb DATA'!$B$34:$G$34</c:f>
              <c:strCache>
                <c:ptCount val="6"/>
                <c:pt idx="0">
                  <c:v>0-33%</c:v>
                </c:pt>
                <c:pt idx="1">
                  <c:v>34-46%</c:v>
                </c:pt>
                <c:pt idx="2">
                  <c:v>47-60%</c:v>
                </c:pt>
                <c:pt idx="3">
                  <c:v>61-73%</c:v>
                </c:pt>
                <c:pt idx="4">
                  <c:v>74-86%</c:v>
                </c:pt>
                <c:pt idx="5">
                  <c:v>87% +</c:v>
                </c:pt>
              </c:strCache>
            </c:strRef>
          </c:cat>
          <c:val>
            <c:numRef>
              <c:f>'2002 Score Comb DATA'!$B$39:$G$39</c:f>
              <c:numCache>
                <c:ptCount val="6"/>
                <c:pt idx="0">
                  <c:v>0</c:v>
                </c:pt>
                <c:pt idx="1">
                  <c:v>0</c:v>
                </c:pt>
                <c:pt idx="2">
                  <c:v>0.0029</c:v>
                </c:pt>
                <c:pt idx="3">
                  <c:v>0.0336</c:v>
                </c:pt>
                <c:pt idx="4">
                  <c:v>0.056799999999999996</c:v>
                </c:pt>
                <c:pt idx="5">
                  <c:v>0.0097</c:v>
                </c:pt>
              </c:numCache>
            </c:numRef>
          </c:val>
        </c:ser>
        <c:axId val="44001840"/>
        <c:axId val="60472241"/>
      </c:areaChart>
      <c:catAx>
        <c:axId val="44001840"/>
        <c:scaling>
          <c:orientation val="minMax"/>
        </c:scaling>
        <c:axPos val="b"/>
        <c:title>
          <c:tx>
            <c:rich>
              <a:bodyPr vert="horz" rot="0" anchor="ctr"/>
              <a:lstStyle/>
              <a:p>
                <a:pPr algn="ctr">
                  <a:defRPr/>
                </a:pPr>
                <a:r>
                  <a:rPr lang="en-US" cap="none" sz="1575" b="1" i="0" u="none" baseline="0"/>
                  <a:t>% of M/C Questions Answered Correctly
Note: Assumes 100% of Questions Answered (No blanks)</a:t>
                </a:r>
              </a:p>
            </c:rich>
          </c:tx>
          <c:layout/>
          <c:overlay val="0"/>
          <c:spPr>
            <a:noFill/>
            <a:ln>
              <a:noFill/>
            </a:ln>
          </c:spPr>
        </c:title>
        <c:delete val="0"/>
        <c:numFmt formatCode="General" sourceLinked="1"/>
        <c:majorTickMark val="out"/>
        <c:minorTickMark val="none"/>
        <c:tickLblPos val="nextTo"/>
        <c:txPr>
          <a:bodyPr/>
          <a:lstStyle/>
          <a:p>
            <a:pPr>
              <a:defRPr lang="en-US" cap="none" sz="1400" b="1" i="0" u="none" baseline="0"/>
            </a:pPr>
          </a:p>
        </c:txPr>
        <c:crossAx val="60472241"/>
        <c:crosses val="autoZero"/>
        <c:auto val="1"/>
        <c:lblOffset val="100"/>
        <c:noMultiLvlLbl val="0"/>
      </c:catAx>
      <c:valAx>
        <c:axId val="60472241"/>
        <c:scaling>
          <c:orientation val="minMax"/>
          <c:max val="0.3"/>
          <c:min val="0"/>
        </c:scaling>
        <c:axPos val="l"/>
        <c:title>
          <c:tx>
            <c:rich>
              <a:bodyPr vert="horz" rot="-5400000" anchor="ctr"/>
              <a:lstStyle/>
              <a:p>
                <a:pPr algn="ctr">
                  <a:defRPr/>
                </a:pPr>
                <a:r>
                  <a:rPr lang="en-US" cap="none" sz="1375" b="1" i="0" u="none" baseline="0"/>
                  <a:t>Proportion of Students</a:t>
                </a:r>
              </a:p>
            </c:rich>
          </c:tx>
          <c:layout/>
          <c:overlay val="0"/>
          <c:spPr>
            <a:noFill/>
            <a:ln>
              <a:noFill/>
            </a:ln>
          </c:spPr>
        </c:title>
        <c:majorGridlines>
          <c:spPr>
            <a:ln w="3175">
              <a:solidFill/>
              <a:prstDash val="sysDot"/>
            </a:ln>
          </c:spPr>
        </c:majorGridlines>
        <c:delete val="1"/>
        <c:majorTickMark val="out"/>
        <c:minorTickMark val="none"/>
        <c:tickLblPos val="nextTo"/>
        <c:txPr>
          <a:bodyPr/>
          <a:lstStyle/>
          <a:p>
            <a:pPr>
              <a:defRPr lang="en-US" cap="none" sz="1175" b="0" i="0" u="none" baseline="0"/>
            </a:pPr>
          </a:p>
        </c:txPr>
        <c:crossAx val="4400184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2007 AP World History "Bell Curve"
Correlation Between M/C Score and Final Score
</a:t>
            </a:r>
            <a:r>
              <a:rPr lang="en-US" cap="none" sz="1400" b="0" i="0" u="none" baseline="0"/>
              <a:t>If I get x% correct on the multiple choice section, what final score will I likely earn?</a:t>
            </a:r>
          </a:p>
        </c:rich>
      </c:tx>
      <c:layout>
        <c:manualLayout>
          <c:xMode val="factor"/>
          <c:yMode val="factor"/>
          <c:x val="0.0025"/>
          <c:y val="-0.02025"/>
        </c:manualLayout>
      </c:layout>
      <c:spPr>
        <a:noFill/>
        <a:ln>
          <a:noFill/>
        </a:ln>
      </c:spPr>
    </c:title>
    <c:plotArea>
      <c:layout>
        <c:manualLayout>
          <c:xMode val="edge"/>
          <c:yMode val="edge"/>
          <c:x val="0.0385"/>
          <c:y val="0.1605"/>
          <c:w val="0.9505"/>
          <c:h val="0.65825"/>
        </c:manualLayout>
      </c:layout>
      <c:areaChart>
        <c:grouping val="stacked"/>
        <c:varyColors val="0"/>
        <c:ser>
          <c:idx val="0"/>
          <c:order val="0"/>
          <c:tx>
            <c:strRef>
              <c:f>'2007 Score Comb DATA'!$A$35</c:f>
              <c:strCache>
                <c:ptCount val="1"/>
                <c:pt idx="0">
                  <c:v>1</c:v>
                </c:pt>
              </c:strCache>
            </c:strRef>
          </c:tx>
          <c:spPr>
            <a:solidFill>
              <a:srgbClr val="00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00" b="1" i="0" u="none" baseline="0"/>
                </a:pPr>
              </a:p>
            </c:txPr>
            <c:showLegendKey val="0"/>
            <c:showVal val="0"/>
            <c:showBubbleSize val="0"/>
            <c:showCatName val="0"/>
            <c:showSerName val="1"/>
            <c:showPercent val="0"/>
          </c:dLbls>
          <c:cat>
            <c:strRef>
              <c:f>'2007 Score Comb DATA'!$B$34:$G$34</c:f>
              <c:strCache>
                <c:ptCount val="6"/>
                <c:pt idx="0">
                  <c:v>0-33%</c:v>
                </c:pt>
                <c:pt idx="1">
                  <c:v>34-46%</c:v>
                </c:pt>
                <c:pt idx="2">
                  <c:v>47-60%</c:v>
                </c:pt>
                <c:pt idx="3">
                  <c:v>61-73%</c:v>
                </c:pt>
                <c:pt idx="4">
                  <c:v>74-86%</c:v>
                </c:pt>
                <c:pt idx="5">
                  <c:v>87% +</c:v>
                </c:pt>
              </c:strCache>
            </c:strRef>
          </c:cat>
          <c:val>
            <c:numRef>
              <c:f>'2007 Score Comb DATA'!$B$35:$G$35</c:f>
              <c:numCache>
                <c:ptCount val="6"/>
                <c:pt idx="0">
                  <c:v>0.061566</c:v>
                </c:pt>
                <c:pt idx="1">
                  <c:v>0.135828</c:v>
                </c:pt>
                <c:pt idx="2">
                  <c:v>0.017152000000000004</c:v>
                </c:pt>
                <c:pt idx="3">
                  <c:v>0</c:v>
                </c:pt>
                <c:pt idx="4">
                  <c:v>0</c:v>
                </c:pt>
                <c:pt idx="5">
                  <c:v>0</c:v>
                </c:pt>
              </c:numCache>
            </c:numRef>
          </c:val>
        </c:ser>
        <c:ser>
          <c:idx val="1"/>
          <c:order val="1"/>
          <c:tx>
            <c:strRef>
              <c:f>'2007 Score Comb DATA'!$A$36</c:f>
              <c:strCache>
                <c:ptCount val="1"/>
                <c:pt idx="0">
                  <c:v>2</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00" b="1" i="0" u="none" baseline="0"/>
                </a:pPr>
              </a:p>
            </c:txPr>
            <c:showLegendKey val="0"/>
            <c:showVal val="0"/>
            <c:showBubbleSize val="0"/>
            <c:showCatName val="0"/>
            <c:showSerName val="1"/>
            <c:showPercent val="0"/>
          </c:dLbls>
          <c:cat>
            <c:strRef>
              <c:f>'2007 Score Comb DATA'!$B$34:$G$34</c:f>
              <c:strCache>
                <c:ptCount val="6"/>
                <c:pt idx="0">
                  <c:v>0-33%</c:v>
                </c:pt>
                <c:pt idx="1">
                  <c:v>34-46%</c:v>
                </c:pt>
                <c:pt idx="2">
                  <c:v>47-60%</c:v>
                </c:pt>
                <c:pt idx="3">
                  <c:v>61-73%</c:v>
                </c:pt>
                <c:pt idx="4">
                  <c:v>74-86%</c:v>
                </c:pt>
                <c:pt idx="5">
                  <c:v>87% +</c:v>
                </c:pt>
              </c:strCache>
            </c:strRef>
          </c:cat>
          <c:val>
            <c:numRef>
              <c:f>'2007 Score Comb DATA'!$B$36:$G$36</c:f>
              <c:numCache>
                <c:ptCount val="6"/>
                <c:pt idx="0">
                  <c:v>0.000496</c:v>
                </c:pt>
                <c:pt idx="1">
                  <c:v>0.057623999999999995</c:v>
                </c:pt>
                <c:pt idx="2">
                  <c:v>0.161604</c:v>
                </c:pt>
                <c:pt idx="3">
                  <c:v>0.02392</c:v>
                </c:pt>
                <c:pt idx="4">
                  <c:v>0.000175</c:v>
                </c:pt>
                <c:pt idx="5">
                  <c:v>0</c:v>
                </c:pt>
              </c:numCache>
            </c:numRef>
          </c:val>
        </c:ser>
        <c:ser>
          <c:idx val="2"/>
          <c:order val="2"/>
          <c:tx>
            <c:strRef>
              <c:f>'2007 Score Comb DATA'!$A$37</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600" b="1" i="0" u="none" baseline="0"/>
                </a:pPr>
              </a:p>
            </c:txPr>
            <c:showLegendKey val="0"/>
            <c:showVal val="0"/>
            <c:showBubbleSize val="0"/>
            <c:showCatName val="1"/>
            <c:showSerName val="0"/>
            <c:showPercent val="0"/>
          </c:dLbls>
          <c:cat>
            <c:strRef>
              <c:f>'2007 Score Comb DATA'!$B$34:$G$34</c:f>
              <c:strCache>
                <c:ptCount val="6"/>
                <c:pt idx="0">
                  <c:v>0-33%</c:v>
                </c:pt>
                <c:pt idx="1">
                  <c:v>34-46%</c:v>
                </c:pt>
                <c:pt idx="2">
                  <c:v>47-60%</c:v>
                </c:pt>
                <c:pt idx="3">
                  <c:v>61-73%</c:v>
                </c:pt>
                <c:pt idx="4">
                  <c:v>74-86%</c:v>
                </c:pt>
                <c:pt idx="5">
                  <c:v>87% +</c:v>
                </c:pt>
              </c:strCache>
            </c:strRef>
          </c:cat>
          <c:val>
            <c:numRef>
              <c:f>'2007 Score Comb DATA'!$B$37:$G$37</c:f>
              <c:numCache>
                <c:ptCount val="6"/>
                <c:pt idx="0">
                  <c:v>0</c:v>
                </c:pt>
                <c:pt idx="1">
                  <c:v>0.0025480000000000004</c:v>
                </c:pt>
                <c:pt idx="2">
                  <c:v>0.08549200000000001</c:v>
                </c:pt>
                <c:pt idx="3">
                  <c:v>0.15236000000000002</c:v>
                </c:pt>
                <c:pt idx="4">
                  <c:v>0.021349999999999997</c:v>
                </c:pt>
                <c:pt idx="5">
                  <c:v>0.00011700000000000001</c:v>
                </c:pt>
              </c:numCache>
            </c:numRef>
          </c:val>
        </c:ser>
        <c:ser>
          <c:idx val="3"/>
          <c:order val="3"/>
          <c:tx>
            <c:strRef>
              <c:f>'2007 Score Comb DATA'!$A$38</c:f>
              <c:strCache>
                <c:ptCount val="1"/>
                <c:pt idx="0">
                  <c:v>4</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00" b="1" i="0" u="none" baseline="0"/>
                </a:pPr>
              </a:p>
            </c:txPr>
            <c:showLegendKey val="0"/>
            <c:showVal val="0"/>
            <c:showBubbleSize val="0"/>
            <c:showCatName val="0"/>
            <c:showSerName val="1"/>
            <c:showPercent val="0"/>
          </c:dLbls>
          <c:cat>
            <c:strRef>
              <c:f>'2007 Score Comb DATA'!$B$34:$G$34</c:f>
              <c:strCache>
                <c:ptCount val="6"/>
                <c:pt idx="0">
                  <c:v>0-33%</c:v>
                </c:pt>
                <c:pt idx="1">
                  <c:v>34-46%</c:v>
                </c:pt>
                <c:pt idx="2">
                  <c:v>47-60%</c:v>
                </c:pt>
                <c:pt idx="3">
                  <c:v>61-73%</c:v>
                </c:pt>
                <c:pt idx="4">
                  <c:v>74-86%</c:v>
                </c:pt>
                <c:pt idx="5">
                  <c:v>87% +</c:v>
                </c:pt>
              </c:strCache>
            </c:strRef>
          </c:cat>
          <c:val>
            <c:numRef>
              <c:f>'2007 Score Comb DATA'!$B$38:$G$38</c:f>
              <c:numCache>
                <c:ptCount val="6"/>
                <c:pt idx="0">
                  <c:v>0</c:v>
                </c:pt>
                <c:pt idx="1">
                  <c:v>0</c:v>
                </c:pt>
                <c:pt idx="2">
                  <c:v>0.00402</c:v>
                </c:pt>
                <c:pt idx="3">
                  <c:v>0.07696000000000001</c:v>
                </c:pt>
                <c:pt idx="4">
                  <c:v>0.084175</c:v>
                </c:pt>
                <c:pt idx="5">
                  <c:v>0.003393</c:v>
                </c:pt>
              </c:numCache>
            </c:numRef>
          </c:val>
        </c:ser>
        <c:ser>
          <c:idx val="4"/>
          <c:order val="4"/>
          <c:tx>
            <c:strRef>
              <c:f>'2007 Score Comb DATA'!$A$39</c:f>
              <c:strCache>
                <c:ptCount val="1"/>
                <c:pt idx="0">
                  <c:v>5</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00" b="1" i="0" u="none" baseline="0"/>
                </a:pPr>
              </a:p>
            </c:txPr>
            <c:showLegendKey val="0"/>
            <c:showVal val="0"/>
            <c:showBubbleSize val="0"/>
            <c:showCatName val="0"/>
            <c:showSerName val="1"/>
            <c:showPercent val="0"/>
          </c:dLbls>
          <c:cat>
            <c:strRef>
              <c:f>'2007 Score Comb DATA'!$B$34:$G$34</c:f>
              <c:strCache>
                <c:ptCount val="6"/>
                <c:pt idx="0">
                  <c:v>0-33%</c:v>
                </c:pt>
                <c:pt idx="1">
                  <c:v>34-46%</c:v>
                </c:pt>
                <c:pt idx="2">
                  <c:v>47-60%</c:v>
                </c:pt>
                <c:pt idx="3">
                  <c:v>61-73%</c:v>
                </c:pt>
                <c:pt idx="4">
                  <c:v>74-86%</c:v>
                </c:pt>
                <c:pt idx="5">
                  <c:v>87% +</c:v>
                </c:pt>
              </c:strCache>
            </c:strRef>
          </c:cat>
          <c:val>
            <c:numRef>
              <c:f>'2007 Score Comb DATA'!$B$39:$G$39</c:f>
              <c:numCache>
                <c:ptCount val="6"/>
                <c:pt idx="0">
                  <c:v>0</c:v>
                </c:pt>
                <c:pt idx="1">
                  <c:v>0</c:v>
                </c:pt>
                <c:pt idx="2">
                  <c:v>0</c:v>
                </c:pt>
                <c:pt idx="3">
                  <c:v>0.006500000000000001</c:v>
                </c:pt>
                <c:pt idx="4">
                  <c:v>0.069475</c:v>
                </c:pt>
                <c:pt idx="5">
                  <c:v>0.03549</c:v>
                </c:pt>
              </c:numCache>
            </c:numRef>
          </c:val>
        </c:ser>
        <c:axId val="7379258"/>
        <c:axId val="66413323"/>
      </c:areaChart>
      <c:catAx>
        <c:axId val="7379258"/>
        <c:scaling>
          <c:orientation val="minMax"/>
        </c:scaling>
        <c:axPos val="b"/>
        <c:title>
          <c:tx>
            <c:rich>
              <a:bodyPr vert="horz" rot="0" anchor="ctr"/>
              <a:lstStyle/>
              <a:p>
                <a:pPr algn="ctr">
                  <a:defRPr/>
                </a:pPr>
                <a:r>
                  <a:rPr lang="en-US" cap="none" sz="1600" b="1" i="0" u="none" baseline="0"/>
                  <a:t>% of M/C Questions Answered Correctly
Note: Assumes 100% of Questions Answered (No blanks)</a:t>
                </a:r>
              </a:p>
            </c:rich>
          </c:tx>
          <c:layout/>
          <c:overlay val="0"/>
          <c:spPr>
            <a:noFill/>
            <a:ln>
              <a:noFill/>
            </a:ln>
          </c:spPr>
        </c:title>
        <c:delete val="0"/>
        <c:numFmt formatCode="General" sourceLinked="1"/>
        <c:majorTickMark val="out"/>
        <c:minorTickMark val="none"/>
        <c:tickLblPos val="nextTo"/>
        <c:txPr>
          <a:bodyPr/>
          <a:lstStyle/>
          <a:p>
            <a:pPr>
              <a:defRPr lang="en-US" cap="none" sz="1400" b="1" i="0" u="none" baseline="0"/>
            </a:pPr>
          </a:p>
        </c:txPr>
        <c:crossAx val="66413323"/>
        <c:crosses val="autoZero"/>
        <c:auto val="1"/>
        <c:lblOffset val="100"/>
        <c:noMultiLvlLbl val="0"/>
      </c:catAx>
      <c:valAx>
        <c:axId val="66413323"/>
        <c:scaling>
          <c:orientation val="minMax"/>
          <c:max val="0.3"/>
          <c:min val="0"/>
        </c:scaling>
        <c:axPos val="l"/>
        <c:title>
          <c:tx>
            <c:rich>
              <a:bodyPr vert="horz" rot="-5400000" anchor="ctr"/>
              <a:lstStyle/>
              <a:p>
                <a:pPr algn="ctr">
                  <a:defRPr/>
                </a:pPr>
                <a:r>
                  <a:rPr lang="en-US" cap="none" sz="1400" b="1" i="0" u="none" baseline="0"/>
                  <a:t>Proportion of Students</a:t>
                </a:r>
              </a:p>
            </c:rich>
          </c:tx>
          <c:layout/>
          <c:overlay val="0"/>
          <c:spPr>
            <a:noFill/>
            <a:ln>
              <a:noFill/>
            </a:ln>
          </c:spPr>
        </c:title>
        <c:majorGridlines>
          <c:spPr>
            <a:ln w="3175">
              <a:solidFill/>
              <a:prstDash val="sysDot"/>
            </a:ln>
          </c:spPr>
        </c:majorGridlines>
        <c:delete val="1"/>
        <c:majorTickMark val="out"/>
        <c:minorTickMark val="none"/>
        <c:tickLblPos val="nextTo"/>
        <c:txPr>
          <a:bodyPr/>
          <a:lstStyle/>
          <a:p>
            <a:pPr>
              <a:defRPr lang="en-US" cap="none" sz="1200" b="0" i="0" u="none" baseline="0"/>
            </a:pPr>
          </a:p>
        </c:txPr>
        <c:crossAx val="737925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2002 APWH Composite Scores</a:t>
            </a:r>
            <a:r>
              <a:rPr lang="en-US" cap="none" sz="1400" b="1" i="0" u="none" baseline="0"/>
              <a:t>
</a:t>
            </a:r>
            <a:r>
              <a:rPr lang="en-US" cap="none" sz="1200" b="1" i="0" u="none" baseline="0"/>
              <a:t>Note: The cutoffs between each score apply to the 2002 APWH only.
These levels change slightly each year according to 
the specific characteristics of that year's test results.</a:t>
            </a:r>
          </a:p>
        </c:rich>
      </c:tx>
      <c:layout/>
      <c:spPr>
        <a:noFill/>
        <a:ln>
          <a:noFill/>
        </a:ln>
      </c:spPr>
    </c:title>
    <c:plotArea>
      <c:layout>
        <c:manualLayout>
          <c:xMode val="edge"/>
          <c:yMode val="edge"/>
          <c:x val="0.0145"/>
          <c:y val="0.19"/>
          <c:w val="0.977"/>
          <c:h val="0.78775"/>
        </c:manualLayout>
      </c:layout>
      <c:barChart>
        <c:barDir val="col"/>
        <c:grouping val="stacked"/>
        <c:varyColors val="0"/>
        <c:ser>
          <c:idx val="4"/>
          <c:order val="0"/>
          <c:tx>
            <c:v>Multiple Choice Section</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t>25 Right
-30 Wrong
15 Skipped</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t>30 Right
-30 Wrong
10 Skipped</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t>40 Right
-25 Wrong
5 Skipped</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t>35 Right
-30 Wrong
5 Skipped</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50 Right
-15 Wrong
5 Skipped</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1000" b="0" i="0" u="none" baseline="0"/>
                      <a:t>50 Right
-20 Wrong
0 Skipped</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000" b="0" i="0" u="none" baseline="0"/>
                      <a:t>70 Right
0 Wrong
0 Skipped</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'2002 Score Comb DATA'!$B$60:$H$60</c:f>
              <c:strCache>
                <c:ptCount val="7"/>
                <c:pt idx="0">
                  <c:v>Student A Score = 26</c:v>
                </c:pt>
                <c:pt idx="1">
                  <c:v>Student B Score = 37</c:v>
                </c:pt>
                <c:pt idx="2">
                  <c:v>Student C Score = 56</c:v>
                </c:pt>
                <c:pt idx="3">
                  <c:v>Student D Score = 57</c:v>
                </c:pt>
                <c:pt idx="4">
                  <c:v>Student E Score = 58</c:v>
                </c:pt>
                <c:pt idx="5">
                  <c:v>Student F Score = 79</c:v>
                </c:pt>
                <c:pt idx="6">
                  <c:v>Perfect Score=120</c:v>
                </c:pt>
              </c:strCache>
            </c:strRef>
          </c:cat>
          <c:val>
            <c:numRef>
              <c:f>'2002 Score Comb DATA'!$B$65:$H$65</c:f>
              <c:numCache>
                <c:ptCount val="7"/>
                <c:pt idx="0">
                  <c:v>15.217391304347826</c:v>
                </c:pt>
                <c:pt idx="1">
                  <c:v>19.565217391304348</c:v>
                </c:pt>
                <c:pt idx="2">
                  <c:v>29.34782608695652</c:v>
                </c:pt>
                <c:pt idx="3">
                  <c:v>23.913043478260867</c:v>
                </c:pt>
                <c:pt idx="4">
                  <c:v>40.21739130434783</c:v>
                </c:pt>
                <c:pt idx="5">
                  <c:v>39.130434782608695</c:v>
                </c:pt>
                <c:pt idx="6">
                  <c:v>60</c:v>
                </c:pt>
              </c:numCache>
            </c:numRef>
          </c:val>
        </c:ser>
        <c:ser>
          <c:idx val="0"/>
          <c:order val="1"/>
          <c:tx>
            <c:strRef>
              <c:f>'2002 Score Comb DATA'!$A$67</c:f>
              <c:strCache>
                <c:ptCount val="1"/>
                <c:pt idx="0">
                  <c:v>DBQ</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t>DBQ 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t>DBQ 3</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t>DQ 5</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t>DBQ 6</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DBQ 3</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1000" b="0" i="0" u="none" baseline="0"/>
                      <a:t>DBQ 7</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000" b="0" i="0" u="none" baseline="0"/>
                      <a:t>DBQ 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'2002 Score Comb DATA'!$B$71:$H$71</c:f>
              <c:numCache>
                <c:ptCount val="7"/>
                <c:pt idx="0">
                  <c:v>4.4444</c:v>
                </c:pt>
                <c:pt idx="1">
                  <c:v>6.6666</c:v>
                </c:pt>
                <c:pt idx="2">
                  <c:v>11.111</c:v>
                </c:pt>
                <c:pt idx="3">
                  <c:v>13.3332</c:v>
                </c:pt>
                <c:pt idx="4">
                  <c:v>6.6666</c:v>
                </c:pt>
                <c:pt idx="5">
                  <c:v>15.555399999999999</c:v>
                </c:pt>
                <c:pt idx="6">
                  <c:v>19.9998</c:v>
                </c:pt>
              </c:numCache>
            </c:numRef>
          </c:val>
        </c:ser>
        <c:ser>
          <c:idx val="1"/>
          <c:order val="2"/>
          <c:tx>
            <c:strRef>
              <c:f>'2002 Score Comb DATA'!$A$68</c:f>
              <c:strCache>
                <c:ptCount val="1"/>
                <c:pt idx="0">
                  <c:v>CCOT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t>CCOT 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t>CCOT 3</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t>CCOT 4</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t>CCOT 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CCOT 3</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1000" b="0" i="0" u="none" baseline="0"/>
                      <a:t>CCOT 6</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000" b="0" i="0" u="none" baseline="0"/>
                      <a:t>CCOT 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'2002 Score Comb DATA'!$B$72:$H$72</c:f>
              <c:numCache>
                <c:ptCount val="7"/>
                <c:pt idx="0">
                  <c:v>4.4444</c:v>
                </c:pt>
                <c:pt idx="1">
                  <c:v>6.6666</c:v>
                </c:pt>
                <c:pt idx="2">
                  <c:v>8.8888</c:v>
                </c:pt>
                <c:pt idx="3">
                  <c:v>11.111</c:v>
                </c:pt>
                <c:pt idx="4">
                  <c:v>6.6666</c:v>
                </c:pt>
                <c:pt idx="5">
                  <c:v>13.3332</c:v>
                </c:pt>
                <c:pt idx="6">
                  <c:v>19.9998</c:v>
                </c:pt>
              </c:numCache>
            </c:numRef>
          </c:val>
        </c:ser>
        <c:ser>
          <c:idx val="2"/>
          <c:order val="3"/>
          <c:tx>
            <c:strRef>
              <c:f>'2002 Score Comb DATA'!$A$69</c:f>
              <c:strCache>
                <c:ptCount val="1"/>
                <c:pt idx="0">
                  <c:v>Comparative</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t>Comp 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t>Comp 2</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t>Comp 3</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t>Comp 4</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Comp 2</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1000" b="0" i="0" u="none" baseline="0"/>
                      <a:t>Comp 5</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000" b="0" i="0" u="none" baseline="0"/>
                      <a:t>Comp 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'2002 Score Comb DATA'!$B$73:$H$73</c:f>
              <c:numCache>
                <c:ptCount val="7"/>
                <c:pt idx="0">
                  <c:v>2.2222</c:v>
                </c:pt>
                <c:pt idx="1">
                  <c:v>4.4444</c:v>
                </c:pt>
                <c:pt idx="2">
                  <c:v>6.6666</c:v>
                </c:pt>
                <c:pt idx="3">
                  <c:v>8.8888</c:v>
                </c:pt>
                <c:pt idx="4">
                  <c:v>4.4444</c:v>
                </c:pt>
                <c:pt idx="5">
                  <c:v>11.111</c:v>
                </c:pt>
                <c:pt idx="6">
                  <c:v>19.9998</c:v>
                </c:pt>
              </c:numCache>
            </c:numRef>
          </c:val>
        </c:ser>
        <c:overlap val="97"/>
        <c:gapWidth val="50"/>
        <c:axId val="60848996"/>
        <c:axId val="10770053"/>
      </c:barChart>
      <c:catAx>
        <c:axId val="60848996"/>
        <c:scaling>
          <c:orientation val="minMax"/>
        </c:scaling>
        <c:axPos val="b"/>
        <c:delete val="0"/>
        <c:numFmt formatCode="General" sourceLinked="1"/>
        <c:majorTickMark val="out"/>
        <c:minorTickMark val="none"/>
        <c:tickLblPos val="nextTo"/>
        <c:txPr>
          <a:bodyPr/>
          <a:lstStyle/>
          <a:p>
            <a:pPr>
              <a:defRPr lang="en-US" cap="none" sz="1200" b="1" i="0" u="none" baseline="0"/>
            </a:pPr>
          </a:p>
        </c:txPr>
        <c:crossAx val="10770053"/>
        <c:crosses val="autoZero"/>
        <c:auto val="1"/>
        <c:lblOffset val="100"/>
        <c:noMultiLvlLbl val="0"/>
      </c:catAx>
      <c:valAx>
        <c:axId val="10770053"/>
        <c:scaling>
          <c:orientation val="minMax"/>
          <c:max val="120"/>
        </c:scaling>
        <c:axPos val="l"/>
        <c:delete val="0"/>
        <c:numFmt formatCode="0" sourceLinked="0"/>
        <c:majorTickMark val="out"/>
        <c:minorTickMark val="none"/>
        <c:tickLblPos val="nextTo"/>
        <c:crossAx val="60848996"/>
        <c:crossesAt val="1"/>
        <c:crossBetween val="between"/>
        <c:dispUnits/>
        <c:majorUnit val="10"/>
      </c:valAx>
      <c:spPr>
        <a:noFill/>
        <a:ln>
          <a:noFill/>
        </a:ln>
      </c:spPr>
    </c:plotArea>
    <c:legend>
      <c:legendPos val="r"/>
      <c:layout>
        <c:manualLayout>
          <c:xMode val="edge"/>
          <c:yMode val="edge"/>
          <c:x val="0.204"/>
          <c:y val="0.17575"/>
          <c:w val="0.5965"/>
          <c:h val="0.08875"/>
        </c:manualLayout>
      </c:layout>
      <c:overlay val="0"/>
      <c:txPr>
        <a:bodyPr vert="horz" rot="0"/>
        <a:lstStyle/>
        <a:p>
          <a:pPr>
            <a:defRPr lang="en-US" cap="none" sz="14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2007 APWH Composite Scores</a:t>
            </a:r>
            <a:r>
              <a:rPr lang="en-US" cap="none" sz="1400" b="1" i="0" u="none" baseline="0"/>
              <a:t>
</a:t>
            </a:r>
            <a:r>
              <a:rPr lang="en-US" cap="none" sz="1200" b="1" i="0" u="none" baseline="0"/>
              <a:t>Note: The cutoffs between each score apply to the 2007 APWH only.
These levels change slightly each year according to 
the specific characteristics of that year's test results.</a:t>
            </a:r>
          </a:p>
        </c:rich>
      </c:tx>
      <c:layout/>
      <c:spPr>
        <a:noFill/>
        <a:ln>
          <a:noFill/>
        </a:ln>
      </c:spPr>
    </c:title>
    <c:plotArea>
      <c:layout>
        <c:manualLayout>
          <c:xMode val="edge"/>
          <c:yMode val="edge"/>
          <c:x val="0.0145"/>
          <c:y val="0.19"/>
          <c:w val="0.977"/>
          <c:h val="0.78775"/>
        </c:manualLayout>
      </c:layout>
      <c:barChart>
        <c:barDir val="col"/>
        <c:grouping val="stacked"/>
        <c:varyColors val="0"/>
        <c:ser>
          <c:idx val="4"/>
          <c:order val="0"/>
          <c:tx>
            <c:v>Multiple Choice Section</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t>25 Right
-30 Wrong
15 Skipped</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t>30 Right
-30 Wrong
10 Skipped</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t>40 Right
-25 Wrong
5 Skipped</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t>35 Right
-30 Wrong
5 Skipped</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50 Right
-15 Wrong
5 Skipped</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1000" b="0" i="0" u="none" baseline="0"/>
                      <a:t>50 Right
-20 Wrong
0 Skipped</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000" b="0" i="0" u="none" baseline="0"/>
                      <a:t>70 Right
0 Wrong
0 Skipped</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'2007 Score Comb DATA'!$B$78:$H$79</c:f>
              <c:multiLvlStrCache>
                <c:ptCount val="7"/>
                <c:lvl>
                  <c:pt idx="0">
                    <c:v>Student A</c:v>
                  </c:pt>
                  <c:pt idx="1">
                    <c:v>Student B</c:v>
                  </c:pt>
                  <c:pt idx="2">
                    <c:v>Student C</c:v>
                  </c:pt>
                  <c:pt idx="3">
                    <c:v>Student D</c:v>
                  </c:pt>
                  <c:pt idx="4">
                    <c:v>Student E</c:v>
                  </c:pt>
                  <c:pt idx="5">
                    <c:v>Student F</c:v>
                  </c:pt>
                  <c:pt idx="6">
                    <c:v>Perfect Score</c:v>
                  </c:pt>
                </c:lvl>
                <c:lvl>
                  <c:pt idx="0">
                    <c:v>Composite Score = 26</c:v>
                  </c:pt>
                  <c:pt idx="1">
                    <c:v>Composite Score = 37</c:v>
                  </c:pt>
                  <c:pt idx="2">
                    <c:v>Composite Score = 56</c:v>
                  </c:pt>
                  <c:pt idx="3">
                    <c:v>Composite Score = 55</c:v>
                  </c:pt>
                  <c:pt idx="4">
                    <c:v>Composite Score = 55</c:v>
                  </c:pt>
                  <c:pt idx="5">
                    <c:v>Composite Score = 79</c:v>
                  </c:pt>
                  <c:pt idx="6">
                    <c:v>Composite Score = 120</c:v>
                  </c:pt>
                </c:lvl>
              </c:multiLvlStrCache>
            </c:multiLvlStrRef>
          </c:cat>
          <c:val>
            <c:numRef>
              <c:f>'2007 Score Comb DATA'!$B$65:$H$65</c:f>
              <c:numCache>
                <c:ptCount val="7"/>
                <c:pt idx="0">
                  <c:v>15</c:v>
                </c:pt>
                <c:pt idx="1">
                  <c:v>19.285714285714285</c:v>
                </c:pt>
                <c:pt idx="2">
                  <c:v>28.928571428571427</c:v>
                </c:pt>
                <c:pt idx="3">
                  <c:v>23.57142857142857</c:v>
                </c:pt>
                <c:pt idx="4">
                  <c:v>39.64285714285714</c:v>
                </c:pt>
                <c:pt idx="5">
                  <c:v>38.57142857142857</c:v>
                </c:pt>
                <c:pt idx="6">
                  <c:v>60</c:v>
                </c:pt>
              </c:numCache>
            </c:numRef>
          </c:val>
        </c:ser>
        <c:ser>
          <c:idx val="0"/>
          <c:order val="1"/>
          <c:tx>
            <c:strRef>
              <c:f>'2002 Score Comb DATA'!$A$67</c:f>
              <c:strCache>
                <c:ptCount val="1"/>
                <c:pt idx="0">
                  <c:v>DBQ</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t>DBQ 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t>DBQ 3</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t>DQ 5</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t>DBQ 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DBQ 3</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1000" b="0" i="0" u="none" baseline="0"/>
                      <a:t>DBQ 7</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000" b="0" i="0" u="none" baseline="0"/>
                      <a:t>DBQ 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'2007 Score Comb DATA'!$B$78:$H$79</c:f>
              <c:multiLvlStrCache>
                <c:ptCount val="7"/>
                <c:lvl>
                  <c:pt idx="0">
                    <c:v>Student A</c:v>
                  </c:pt>
                  <c:pt idx="1">
                    <c:v>Student B</c:v>
                  </c:pt>
                  <c:pt idx="2">
                    <c:v>Student C</c:v>
                  </c:pt>
                  <c:pt idx="3">
                    <c:v>Student D</c:v>
                  </c:pt>
                  <c:pt idx="4">
                    <c:v>Student E</c:v>
                  </c:pt>
                  <c:pt idx="5">
                    <c:v>Student F</c:v>
                  </c:pt>
                  <c:pt idx="6">
                    <c:v>Perfect Score</c:v>
                  </c:pt>
                </c:lvl>
                <c:lvl>
                  <c:pt idx="0">
                    <c:v>Composite Score = 26</c:v>
                  </c:pt>
                  <c:pt idx="1">
                    <c:v>Composite Score = 37</c:v>
                  </c:pt>
                  <c:pt idx="2">
                    <c:v>Composite Score = 56</c:v>
                  </c:pt>
                  <c:pt idx="3">
                    <c:v>Composite Score = 55</c:v>
                  </c:pt>
                  <c:pt idx="4">
                    <c:v>Composite Score = 55</c:v>
                  </c:pt>
                  <c:pt idx="5">
                    <c:v>Composite Score = 79</c:v>
                  </c:pt>
                  <c:pt idx="6">
                    <c:v>Composite Score = 120</c:v>
                  </c:pt>
                </c:lvl>
              </c:multiLvlStrCache>
            </c:multiLvlStrRef>
          </c:cat>
          <c:val>
            <c:numRef>
              <c:f>'2007 Score Comb DATA'!$B$71:$H$71</c:f>
              <c:numCache>
                <c:ptCount val="7"/>
                <c:pt idx="0">
                  <c:v>4.4444</c:v>
                </c:pt>
                <c:pt idx="1">
                  <c:v>6.6666</c:v>
                </c:pt>
                <c:pt idx="2">
                  <c:v>11.111</c:v>
                </c:pt>
                <c:pt idx="3">
                  <c:v>11.111</c:v>
                </c:pt>
                <c:pt idx="4">
                  <c:v>6.6666</c:v>
                </c:pt>
                <c:pt idx="5">
                  <c:v>15.555399999999999</c:v>
                </c:pt>
                <c:pt idx="6">
                  <c:v>19.9998</c:v>
                </c:pt>
              </c:numCache>
            </c:numRef>
          </c:val>
        </c:ser>
        <c:ser>
          <c:idx val="1"/>
          <c:order val="2"/>
          <c:tx>
            <c:strRef>
              <c:f>'2002 Score Comb DATA'!$A$68</c:f>
              <c:strCache>
                <c:ptCount val="1"/>
                <c:pt idx="0">
                  <c:v>CCOT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t>CCOT 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t>CCOT 3</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t>CCOT 4</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t>CCOT 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CCOT 2</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1000" b="0" i="0" u="none" baseline="0"/>
                      <a:t>CCOT 6</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000" b="0" i="0" u="none" baseline="0"/>
                      <a:t>CCOT 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'2007 Score Comb DATA'!$B$78:$H$79</c:f>
              <c:multiLvlStrCache>
                <c:ptCount val="7"/>
                <c:lvl>
                  <c:pt idx="0">
                    <c:v>Student A</c:v>
                  </c:pt>
                  <c:pt idx="1">
                    <c:v>Student B</c:v>
                  </c:pt>
                  <c:pt idx="2">
                    <c:v>Student C</c:v>
                  </c:pt>
                  <c:pt idx="3">
                    <c:v>Student D</c:v>
                  </c:pt>
                  <c:pt idx="4">
                    <c:v>Student E</c:v>
                  </c:pt>
                  <c:pt idx="5">
                    <c:v>Student F</c:v>
                  </c:pt>
                  <c:pt idx="6">
                    <c:v>Perfect Score</c:v>
                  </c:pt>
                </c:lvl>
                <c:lvl>
                  <c:pt idx="0">
                    <c:v>Composite Score = 26</c:v>
                  </c:pt>
                  <c:pt idx="1">
                    <c:v>Composite Score = 37</c:v>
                  </c:pt>
                  <c:pt idx="2">
                    <c:v>Composite Score = 56</c:v>
                  </c:pt>
                  <c:pt idx="3">
                    <c:v>Composite Score = 55</c:v>
                  </c:pt>
                  <c:pt idx="4">
                    <c:v>Composite Score = 55</c:v>
                  </c:pt>
                  <c:pt idx="5">
                    <c:v>Composite Score = 79</c:v>
                  </c:pt>
                  <c:pt idx="6">
                    <c:v>Composite Score = 120</c:v>
                  </c:pt>
                </c:lvl>
              </c:multiLvlStrCache>
            </c:multiLvlStrRef>
          </c:cat>
          <c:val>
            <c:numRef>
              <c:f>'2007 Score Comb DATA'!$B$72:$H$72</c:f>
              <c:numCache>
                <c:ptCount val="7"/>
                <c:pt idx="0">
                  <c:v>4.4444</c:v>
                </c:pt>
                <c:pt idx="1">
                  <c:v>6.6666</c:v>
                </c:pt>
                <c:pt idx="2">
                  <c:v>8.8888</c:v>
                </c:pt>
                <c:pt idx="3">
                  <c:v>11.111</c:v>
                </c:pt>
                <c:pt idx="4">
                  <c:v>4.4444</c:v>
                </c:pt>
                <c:pt idx="5">
                  <c:v>13.3332</c:v>
                </c:pt>
                <c:pt idx="6">
                  <c:v>19.9998</c:v>
                </c:pt>
              </c:numCache>
            </c:numRef>
          </c:val>
        </c:ser>
        <c:ser>
          <c:idx val="2"/>
          <c:order val="3"/>
          <c:tx>
            <c:strRef>
              <c:f>'2002 Score Comb DATA'!$A$69</c:f>
              <c:strCache>
                <c:ptCount val="1"/>
                <c:pt idx="0">
                  <c:v>Comparative</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t>Comp 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t>Comp 2</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t>Comp 3</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t>Comp 4</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Comp 2</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1000" b="0" i="0" u="none" baseline="0"/>
                      <a:t>Comp 5</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000" b="0" i="0" u="none" baseline="0"/>
                      <a:t>Comp 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'2007 Score Comb DATA'!$B$78:$H$79</c:f>
              <c:multiLvlStrCache>
                <c:ptCount val="7"/>
                <c:lvl>
                  <c:pt idx="0">
                    <c:v>Student A</c:v>
                  </c:pt>
                  <c:pt idx="1">
                    <c:v>Student B</c:v>
                  </c:pt>
                  <c:pt idx="2">
                    <c:v>Student C</c:v>
                  </c:pt>
                  <c:pt idx="3">
                    <c:v>Student D</c:v>
                  </c:pt>
                  <c:pt idx="4">
                    <c:v>Student E</c:v>
                  </c:pt>
                  <c:pt idx="5">
                    <c:v>Student F</c:v>
                  </c:pt>
                  <c:pt idx="6">
                    <c:v>Perfect Score</c:v>
                  </c:pt>
                </c:lvl>
                <c:lvl>
                  <c:pt idx="0">
                    <c:v>Composite Score = 26</c:v>
                  </c:pt>
                  <c:pt idx="1">
                    <c:v>Composite Score = 37</c:v>
                  </c:pt>
                  <c:pt idx="2">
                    <c:v>Composite Score = 56</c:v>
                  </c:pt>
                  <c:pt idx="3">
                    <c:v>Composite Score = 55</c:v>
                  </c:pt>
                  <c:pt idx="4">
                    <c:v>Composite Score = 55</c:v>
                  </c:pt>
                  <c:pt idx="5">
                    <c:v>Composite Score = 79</c:v>
                  </c:pt>
                  <c:pt idx="6">
                    <c:v>Composite Score = 120</c:v>
                  </c:pt>
                </c:lvl>
              </c:multiLvlStrCache>
            </c:multiLvlStrRef>
          </c:cat>
          <c:val>
            <c:numRef>
              <c:f>'2007 Score Comb DATA'!$B$73:$H$73</c:f>
              <c:numCache>
                <c:ptCount val="7"/>
                <c:pt idx="0">
                  <c:v>2.2222</c:v>
                </c:pt>
                <c:pt idx="1">
                  <c:v>4.4444</c:v>
                </c:pt>
                <c:pt idx="2">
                  <c:v>6.6666</c:v>
                </c:pt>
                <c:pt idx="3">
                  <c:v>8.8888</c:v>
                </c:pt>
                <c:pt idx="4">
                  <c:v>4.4444</c:v>
                </c:pt>
                <c:pt idx="5">
                  <c:v>11.111</c:v>
                </c:pt>
                <c:pt idx="6">
                  <c:v>19.9998</c:v>
                </c:pt>
              </c:numCache>
            </c:numRef>
          </c:val>
        </c:ser>
        <c:overlap val="97"/>
        <c:gapWidth val="50"/>
        <c:axId val="29821614"/>
        <c:axId val="67067935"/>
      </c:barChart>
      <c:catAx>
        <c:axId val="29821614"/>
        <c:scaling>
          <c:orientation val="minMax"/>
        </c:scaling>
        <c:axPos val="b"/>
        <c:delete val="0"/>
        <c:numFmt formatCode="General" sourceLinked="1"/>
        <c:majorTickMark val="out"/>
        <c:minorTickMark val="none"/>
        <c:tickLblPos val="nextTo"/>
        <c:txPr>
          <a:bodyPr/>
          <a:lstStyle/>
          <a:p>
            <a:pPr>
              <a:defRPr lang="en-US" cap="none" sz="1200" b="1" i="0" u="none" baseline="0"/>
            </a:pPr>
          </a:p>
        </c:txPr>
        <c:crossAx val="67067935"/>
        <c:crosses val="autoZero"/>
        <c:auto val="1"/>
        <c:lblOffset val="100"/>
        <c:noMultiLvlLbl val="0"/>
      </c:catAx>
      <c:valAx>
        <c:axId val="67067935"/>
        <c:scaling>
          <c:orientation val="minMax"/>
          <c:max val="120"/>
        </c:scaling>
        <c:axPos val="l"/>
        <c:delete val="0"/>
        <c:numFmt formatCode="0" sourceLinked="0"/>
        <c:majorTickMark val="out"/>
        <c:minorTickMark val="none"/>
        <c:tickLblPos val="nextTo"/>
        <c:crossAx val="29821614"/>
        <c:crossesAt val="1"/>
        <c:crossBetween val="between"/>
        <c:dispUnits/>
        <c:majorUnit val="10"/>
      </c:valAx>
      <c:spPr>
        <a:noFill/>
        <a:ln>
          <a:noFill/>
        </a:ln>
      </c:spPr>
    </c:plotArea>
    <c:legend>
      <c:legendPos val="r"/>
      <c:layout>
        <c:manualLayout>
          <c:xMode val="edge"/>
          <c:yMode val="edge"/>
          <c:x val="0.20675"/>
          <c:y val="0.172"/>
          <c:w val="0.5965"/>
          <c:h val="0.08875"/>
        </c:manualLayout>
      </c:layout>
      <c:overlay val="0"/>
      <c:txPr>
        <a:bodyPr vert="horz" rot="0"/>
        <a:lstStyle/>
        <a:p>
          <a:pPr>
            <a:defRPr lang="en-US" cap="none" sz="14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Geneva"/>
                <a:ea typeface="Geneva"/>
                <a:cs typeface="Geneva"/>
              </a:rPr>
              <a:t>2002 AP World History % Correct</a:t>
            </a:r>
            <a:r>
              <a:rPr lang="en-US" cap="none" sz="1400" b="0" i="0" u="none" baseline="0">
                <a:latin typeface="Geneva"/>
                <a:ea typeface="Geneva"/>
                <a:cs typeface="Geneva"/>
              </a:rPr>
              <a:t>
What percent of students correctly answered each question?</a:t>
            </a:r>
          </a:p>
        </c:rich>
      </c:tx>
      <c:layout/>
      <c:spPr>
        <a:noFill/>
        <a:ln>
          <a:noFill/>
        </a:ln>
      </c:spPr>
    </c:title>
    <c:plotArea>
      <c:layout>
        <c:manualLayout>
          <c:xMode val="edge"/>
          <c:yMode val="edge"/>
          <c:x val="0.046"/>
          <c:y val="0.1205"/>
          <c:w val="0.9495"/>
          <c:h val="0.759"/>
        </c:manualLayout>
      </c:layout>
      <c:lineChart>
        <c:grouping val="standard"/>
        <c:varyColors val="0"/>
        <c:ser>
          <c:idx val="1"/>
          <c:order val="0"/>
          <c:tx>
            <c:strRef>
              <c:f>'2002 MC Section DATA'!$B$6</c:f>
              <c:strCache>
                <c:ptCount val="1"/>
                <c:pt idx="0">
                  <c:v>% Correct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val>
            <c:numRef>
              <c:f>'2002 MC Section DATA'!$B$7:$B$76</c:f>
              <c:numCache>
                <c:ptCount val="70"/>
                <c:pt idx="0">
                  <c:v>68</c:v>
                </c:pt>
                <c:pt idx="1">
                  <c:v>66</c:v>
                </c:pt>
                <c:pt idx="2">
                  <c:v>68</c:v>
                </c:pt>
                <c:pt idx="3">
                  <c:v>48</c:v>
                </c:pt>
                <c:pt idx="4">
                  <c:v>24</c:v>
                </c:pt>
                <c:pt idx="5">
                  <c:v>63</c:v>
                </c:pt>
                <c:pt idx="6">
                  <c:v>58</c:v>
                </c:pt>
                <c:pt idx="7">
                  <c:v>42</c:v>
                </c:pt>
                <c:pt idx="8">
                  <c:v>90</c:v>
                </c:pt>
                <c:pt idx="9">
                  <c:v>86</c:v>
                </c:pt>
                <c:pt idx="10">
                  <c:v>39</c:v>
                </c:pt>
                <c:pt idx="11">
                  <c:v>44</c:v>
                </c:pt>
                <c:pt idx="12">
                  <c:v>35</c:v>
                </c:pt>
                <c:pt idx="13">
                  <c:v>73</c:v>
                </c:pt>
                <c:pt idx="14">
                  <c:v>70</c:v>
                </c:pt>
                <c:pt idx="15">
                  <c:v>47</c:v>
                </c:pt>
                <c:pt idx="16">
                  <c:v>85</c:v>
                </c:pt>
                <c:pt idx="17">
                  <c:v>63</c:v>
                </c:pt>
                <c:pt idx="18">
                  <c:v>74</c:v>
                </c:pt>
                <c:pt idx="19">
                  <c:v>61</c:v>
                </c:pt>
                <c:pt idx="20">
                  <c:v>58</c:v>
                </c:pt>
                <c:pt idx="21">
                  <c:v>50</c:v>
                </c:pt>
                <c:pt idx="22">
                  <c:v>76</c:v>
                </c:pt>
                <c:pt idx="23">
                  <c:v>70</c:v>
                </c:pt>
                <c:pt idx="24">
                  <c:v>73</c:v>
                </c:pt>
                <c:pt idx="25">
                  <c:v>64</c:v>
                </c:pt>
                <c:pt idx="26">
                  <c:v>62</c:v>
                </c:pt>
                <c:pt idx="27">
                  <c:v>32</c:v>
                </c:pt>
                <c:pt idx="29">
                  <c:v>29</c:v>
                </c:pt>
                <c:pt idx="30">
                  <c:v>61</c:v>
                </c:pt>
                <c:pt idx="31">
                  <c:v>61</c:v>
                </c:pt>
                <c:pt idx="32">
                  <c:v>57</c:v>
                </c:pt>
                <c:pt idx="33">
                  <c:v>69</c:v>
                </c:pt>
                <c:pt idx="34">
                  <c:v>55</c:v>
                </c:pt>
                <c:pt idx="35">
                  <c:v>61</c:v>
                </c:pt>
                <c:pt idx="36">
                  <c:v>30</c:v>
                </c:pt>
                <c:pt idx="37">
                  <c:v>48</c:v>
                </c:pt>
                <c:pt idx="38">
                  <c:v>53</c:v>
                </c:pt>
                <c:pt idx="39">
                  <c:v>70</c:v>
                </c:pt>
                <c:pt idx="40">
                  <c:v>57</c:v>
                </c:pt>
                <c:pt idx="41">
                  <c:v>30</c:v>
                </c:pt>
                <c:pt idx="42">
                  <c:v>34</c:v>
                </c:pt>
                <c:pt idx="43">
                  <c:v>57</c:v>
                </c:pt>
                <c:pt idx="44">
                  <c:v>46</c:v>
                </c:pt>
                <c:pt idx="45">
                  <c:v>61</c:v>
                </c:pt>
                <c:pt idx="46">
                  <c:v>40</c:v>
                </c:pt>
                <c:pt idx="47">
                  <c:v>43</c:v>
                </c:pt>
                <c:pt idx="48">
                  <c:v>28</c:v>
                </c:pt>
                <c:pt idx="49">
                  <c:v>34</c:v>
                </c:pt>
                <c:pt idx="50">
                  <c:v>52</c:v>
                </c:pt>
                <c:pt idx="51">
                  <c:v>43</c:v>
                </c:pt>
                <c:pt idx="52">
                  <c:v>15</c:v>
                </c:pt>
                <c:pt idx="53">
                  <c:v>36</c:v>
                </c:pt>
                <c:pt idx="54">
                  <c:v>12</c:v>
                </c:pt>
                <c:pt idx="55">
                  <c:v>56</c:v>
                </c:pt>
                <c:pt idx="56">
                  <c:v>36</c:v>
                </c:pt>
                <c:pt idx="57">
                  <c:v>57</c:v>
                </c:pt>
                <c:pt idx="58">
                  <c:v>44</c:v>
                </c:pt>
                <c:pt idx="59">
                  <c:v>53</c:v>
                </c:pt>
                <c:pt idx="60">
                  <c:v>59</c:v>
                </c:pt>
                <c:pt idx="61">
                  <c:v>42</c:v>
                </c:pt>
                <c:pt idx="62">
                  <c:v>24</c:v>
                </c:pt>
                <c:pt idx="63">
                  <c:v>9</c:v>
                </c:pt>
                <c:pt idx="64">
                  <c:v>16</c:v>
                </c:pt>
                <c:pt idx="65">
                  <c:v>12</c:v>
                </c:pt>
                <c:pt idx="66">
                  <c:v>48</c:v>
                </c:pt>
                <c:pt idx="67">
                  <c:v>25</c:v>
                </c:pt>
                <c:pt idx="68">
                  <c:v>70</c:v>
                </c:pt>
                <c:pt idx="69">
                  <c:v>40</c:v>
                </c:pt>
              </c:numCache>
            </c:numRef>
          </c:val>
          <c:smooth val="0"/>
        </c:ser>
        <c:ser>
          <c:idx val="3"/>
          <c:order val="1"/>
          <c:tx>
            <c:strRef>
              <c:f>'2002 MC Section DATA'!$D$6</c:f>
              <c:strCache>
                <c:ptCount val="1"/>
                <c:pt idx="0">
                  <c:v>Cumulative Average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'2002 MC Section DATA'!$D$7:$D$76</c:f>
              <c:numCache>
                <c:ptCount val="70"/>
                <c:pt idx="0">
                  <c:v>68</c:v>
                </c:pt>
                <c:pt idx="1">
                  <c:v>67</c:v>
                </c:pt>
                <c:pt idx="2">
                  <c:v>67.33333333333333</c:v>
                </c:pt>
                <c:pt idx="3">
                  <c:v>62.5</c:v>
                </c:pt>
                <c:pt idx="4">
                  <c:v>54.8</c:v>
                </c:pt>
                <c:pt idx="5">
                  <c:v>56.166666666666664</c:v>
                </c:pt>
                <c:pt idx="6">
                  <c:v>56.42857142857143</c:v>
                </c:pt>
                <c:pt idx="7">
                  <c:v>54.625</c:v>
                </c:pt>
                <c:pt idx="8">
                  <c:v>58.55555555555556</c:v>
                </c:pt>
                <c:pt idx="9">
                  <c:v>61.3</c:v>
                </c:pt>
                <c:pt idx="10">
                  <c:v>59.27272727272727</c:v>
                </c:pt>
                <c:pt idx="11">
                  <c:v>58</c:v>
                </c:pt>
                <c:pt idx="12">
                  <c:v>56.23076923076923</c:v>
                </c:pt>
                <c:pt idx="13">
                  <c:v>57.42857142857143</c:v>
                </c:pt>
                <c:pt idx="14">
                  <c:v>58.266666666666666</c:v>
                </c:pt>
                <c:pt idx="15">
                  <c:v>57.5625</c:v>
                </c:pt>
                <c:pt idx="16">
                  <c:v>59.1764705882353</c:v>
                </c:pt>
                <c:pt idx="17">
                  <c:v>59.388888888888886</c:v>
                </c:pt>
                <c:pt idx="18">
                  <c:v>60.1578947368421</c:v>
                </c:pt>
                <c:pt idx="19">
                  <c:v>60.2</c:v>
                </c:pt>
                <c:pt idx="20">
                  <c:v>60.095238095238095</c:v>
                </c:pt>
                <c:pt idx="21">
                  <c:v>59.63636363636363</c:v>
                </c:pt>
                <c:pt idx="22">
                  <c:v>60.34782608695652</c:v>
                </c:pt>
                <c:pt idx="23">
                  <c:v>60.75</c:v>
                </c:pt>
                <c:pt idx="24">
                  <c:v>61.24</c:v>
                </c:pt>
                <c:pt idx="25">
                  <c:v>61.34615384615385</c:v>
                </c:pt>
                <c:pt idx="26">
                  <c:v>61.370370370370374</c:v>
                </c:pt>
                <c:pt idx="27">
                  <c:v>60.32142857142857</c:v>
                </c:pt>
                <c:pt idx="28">
                  <c:v>60.32142857142857</c:v>
                </c:pt>
                <c:pt idx="29">
                  <c:v>59.241379310344826</c:v>
                </c:pt>
                <c:pt idx="30">
                  <c:v>59.3</c:v>
                </c:pt>
                <c:pt idx="31">
                  <c:v>59.354838709677416</c:v>
                </c:pt>
                <c:pt idx="32">
                  <c:v>59.28125</c:v>
                </c:pt>
                <c:pt idx="33">
                  <c:v>59.57575757575758</c:v>
                </c:pt>
                <c:pt idx="34">
                  <c:v>59.44117647058823</c:v>
                </c:pt>
                <c:pt idx="35">
                  <c:v>59.48571428571429</c:v>
                </c:pt>
                <c:pt idx="36">
                  <c:v>58.666666666666664</c:v>
                </c:pt>
                <c:pt idx="37">
                  <c:v>58.37837837837838</c:v>
                </c:pt>
                <c:pt idx="38">
                  <c:v>58.23684210526316</c:v>
                </c:pt>
                <c:pt idx="39">
                  <c:v>58.53846153846154</c:v>
                </c:pt>
                <c:pt idx="40">
                  <c:v>58.5</c:v>
                </c:pt>
                <c:pt idx="41">
                  <c:v>57.80487804878049</c:v>
                </c:pt>
                <c:pt idx="42">
                  <c:v>57.23809523809524</c:v>
                </c:pt>
                <c:pt idx="43">
                  <c:v>57.23255813953488</c:v>
                </c:pt>
                <c:pt idx="44">
                  <c:v>56.97727272727273</c:v>
                </c:pt>
                <c:pt idx="45">
                  <c:v>57.06666666666667</c:v>
                </c:pt>
                <c:pt idx="46">
                  <c:v>56.69565217391305</c:v>
                </c:pt>
                <c:pt idx="47">
                  <c:v>56.40425531914894</c:v>
                </c:pt>
                <c:pt idx="48">
                  <c:v>55.8125</c:v>
                </c:pt>
                <c:pt idx="49">
                  <c:v>55.36734693877551</c:v>
                </c:pt>
                <c:pt idx="50">
                  <c:v>55.3</c:v>
                </c:pt>
                <c:pt idx="51">
                  <c:v>55.05882352941177</c:v>
                </c:pt>
                <c:pt idx="52">
                  <c:v>54.28846153846154</c:v>
                </c:pt>
                <c:pt idx="53">
                  <c:v>53.943396226415096</c:v>
                </c:pt>
                <c:pt idx="54">
                  <c:v>53.166666666666664</c:v>
                </c:pt>
                <c:pt idx="55">
                  <c:v>53.21818181818182</c:v>
                </c:pt>
                <c:pt idx="56">
                  <c:v>52.910714285714285</c:v>
                </c:pt>
                <c:pt idx="57">
                  <c:v>52.98245614035088</c:v>
                </c:pt>
                <c:pt idx="58">
                  <c:v>52.827586206896555</c:v>
                </c:pt>
                <c:pt idx="59">
                  <c:v>52.83050847457627</c:v>
                </c:pt>
                <c:pt idx="60">
                  <c:v>52.93333333333333</c:v>
                </c:pt>
                <c:pt idx="61">
                  <c:v>52.75409836065574</c:v>
                </c:pt>
                <c:pt idx="62">
                  <c:v>52.29032258064516</c:v>
                </c:pt>
                <c:pt idx="63">
                  <c:v>51.6031746031746</c:v>
                </c:pt>
                <c:pt idx="64">
                  <c:v>51.046875</c:v>
                </c:pt>
                <c:pt idx="65">
                  <c:v>50.44615384615385</c:v>
                </c:pt>
                <c:pt idx="66">
                  <c:v>50.40909090909091</c:v>
                </c:pt>
                <c:pt idx="67">
                  <c:v>50.02985074626866</c:v>
                </c:pt>
                <c:pt idx="68">
                  <c:v>50.3235294117647</c:v>
                </c:pt>
                <c:pt idx="69">
                  <c:v>50.17391304347826</c:v>
                </c:pt>
              </c:numCache>
            </c:numRef>
          </c:val>
          <c:smooth val="0"/>
        </c:ser>
        <c:axId val="66740504"/>
        <c:axId val="63793625"/>
      </c:lineChart>
      <c:catAx>
        <c:axId val="66740504"/>
        <c:scaling>
          <c:orientation val="minMax"/>
        </c:scaling>
        <c:axPos val="b"/>
        <c:title>
          <c:tx>
            <c:rich>
              <a:bodyPr vert="horz" rot="0" anchor="ctr"/>
              <a:lstStyle/>
              <a:p>
                <a:pPr algn="ctr">
                  <a:defRPr/>
                </a:pPr>
                <a:r>
                  <a:rPr lang="en-US" cap="none" sz="1400" b="0" i="0" u="none" baseline="0">
                    <a:latin typeface="Geneva"/>
                    <a:ea typeface="Geneva"/>
                    <a:cs typeface="Geneva"/>
                  </a:rPr>
                  <a:t>Question #</a:t>
                </a:r>
              </a:p>
            </c:rich>
          </c:tx>
          <c:layout/>
          <c:overlay val="0"/>
          <c:spPr>
            <a:noFill/>
            <a:ln>
              <a:noFill/>
            </a:ln>
          </c:spPr>
        </c:title>
        <c:delete val="0"/>
        <c:numFmt formatCode="General" sourceLinked="1"/>
        <c:majorTickMark val="out"/>
        <c:minorTickMark val="none"/>
        <c:tickLblPos val="nextTo"/>
        <c:crossAx val="63793625"/>
        <c:crosses val="autoZero"/>
        <c:auto val="1"/>
        <c:lblOffset val="100"/>
        <c:tickLblSkip val="3"/>
        <c:noMultiLvlLbl val="0"/>
      </c:catAx>
      <c:valAx>
        <c:axId val="63793625"/>
        <c:scaling>
          <c:orientation val="minMax"/>
        </c:scaling>
        <c:axPos val="l"/>
        <c:title>
          <c:tx>
            <c:rich>
              <a:bodyPr vert="horz" rot="-5400000" anchor="ctr"/>
              <a:lstStyle/>
              <a:p>
                <a:pPr algn="ctr">
                  <a:defRPr/>
                </a:pPr>
                <a:r>
                  <a:rPr lang="en-US" cap="none" sz="1400" b="1" i="0" u="none" baseline="0">
                    <a:latin typeface="Geneva"/>
                    <a:ea typeface="Geneva"/>
                    <a:cs typeface="Geneva"/>
                  </a:rPr>
                  <a:t>Percent Correct</a:t>
                </a:r>
              </a:p>
            </c:rich>
          </c:tx>
          <c:layout/>
          <c:overlay val="0"/>
          <c:spPr>
            <a:noFill/>
            <a:ln>
              <a:noFill/>
            </a:ln>
          </c:spPr>
        </c:title>
        <c:majorGridlines/>
        <c:delete val="0"/>
        <c:numFmt formatCode="General" sourceLinked="1"/>
        <c:majorTickMark val="out"/>
        <c:minorTickMark val="none"/>
        <c:tickLblPos val="nextTo"/>
        <c:crossAx val="66740504"/>
        <c:crossesAt val="1"/>
        <c:crossBetween val="between"/>
        <c:dispUnits/>
      </c:valAx>
      <c:spPr>
        <a:noFill/>
        <a:ln w="12700">
          <a:solidFill>
            <a:srgbClr val="808080"/>
          </a:solidFill>
        </a:ln>
      </c:spPr>
    </c:plotArea>
    <c:legend>
      <c:legendPos val="b"/>
      <c:layout>
        <c:manualLayout>
          <c:xMode val="edge"/>
          <c:yMode val="edge"/>
          <c:x val="0.342"/>
          <c:y val="0.945"/>
        </c:manualLayout>
      </c:layout>
      <c:overlay val="0"/>
      <c:txPr>
        <a:bodyPr vert="horz" rot="0"/>
        <a:lstStyle/>
        <a:p>
          <a:pPr>
            <a:defRPr lang="en-US" cap="none" sz="1400" b="0" i="0" u="none" baseline="0">
              <a:latin typeface="Geneva"/>
              <a:ea typeface="Geneva"/>
              <a:cs typeface="Geneva"/>
            </a:defRPr>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Geneva"/>
                <a:ea typeface="Geneva"/>
                <a:cs typeface="Geneva"/>
              </a:rPr>
              <a:t>2007 AP World History % Correct</a:t>
            </a:r>
            <a:r>
              <a:rPr lang="en-US" cap="none" sz="1400" b="0" i="0" u="none" baseline="0">
                <a:latin typeface="Geneva"/>
                <a:ea typeface="Geneva"/>
                <a:cs typeface="Geneva"/>
              </a:rPr>
              <a:t>
What percent of students correctly answered each question?</a:t>
            </a:r>
          </a:p>
        </c:rich>
      </c:tx>
      <c:layout/>
      <c:spPr>
        <a:noFill/>
        <a:ln>
          <a:noFill/>
        </a:ln>
      </c:spPr>
    </c:title>
    <c:plotArea>
      <c:layout>
        <c:manualLayout>
          <c:xMode val="edge"/>
          <c:yMode val="edge"/>
          <c:x val="0.046"/>
          <c:y val="0.1205"/>
          <c:w val="0.9495"/>
          <c:h val="0.759"/>
        </c:manualLayout>
      </c:layout>
      <c:lineChart>
        <c:grouping val="standard"/>
        <c:varyColors val="0"/>
        <c:ser>
          <c:idx val="1"/>
          <c:order val="0"/>
          <c:tx>
            <c:strRef>
              <c:f>'2007 MC Section DATA'!$B$6</c:f>
              <c:strCache>
                <c:ptCount val="1"/>
                <c:pt idx="0">
                  <c:v>% Correct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val>
            <c:numRef>
              <c:f>'2007 MC Section DATA'!$B$7:$B$76</c:f>
              <c:numCache>
                <c:ptCount val="70"/>
                <c:pt idx="0">
                  <c:v>47</c:v>
                </c:pt>
                <c:pt idx="1">
                  <c:v>77</c:v>
                </c:pt>
                <c:pt idx="2">
                  <c:v>60</c:v>
                </c:pt>
                <c:pt idx="3">
                  <c:v>57</c:v>
                </c:pt>
                <c:pt idx="4">
                  <c:v>80</c:v>
                </c:pt>
                <c:pt idx="5">
                  <c:v>63</c:v>
                </c:pt>
                <c:pt idx="6">
                  <c:v>86</c:v>
                </c:pt>
                <c:pt idx="7">
                  <c:v>80</c:v>
                </c:pt>
                <c:pt idx="8">
                  <c:v>69</c:v>
                </c:pt>
                <c:pt idx="9">
                  <c:v>56</c:v>
                </c:pt>
                <c:pt idx="10">
                  <c:v>53</c:v>
                </c:pt>
                <c:pt idx="11">
                  <c:v>58</c:v>
                </c:pt>
                <c:pt idx="12">
                  <c:v>60</c:v>
                </c:pt>
                <c:pt idx="13">
                  <c:v>56</c:v>
                </c:pt>
                <c:pt idx="14">
                  <c:v>76</c:v>
                </c:pt>
                <c:pt idx="15">
                  <c:v>76</c:v>
                </c:pt>
                <c:pt idx="16">
                  <c:v>91</c:v>
                </c:pt>
                <c:pt idx="17">
                  <c:v>82</c:v>
                </c:pt>
                <c:pt idx="18">
                  <c:v>82</c:v>
                </c:pt>
                <c:pt idx="19">
                  <c:v>43</c:v>
                </c:pt>
                <c:pt idx="20">
                  <c:v>29</c:v>
                </c:pt>
                <c:pt idx="21">
                  <c:v>65</c:v>
                </c:pt>
                <c:pt idx="22">
                  <c:v>69</c:v>
                </c:pt>
                <c:pt idx="23">
                  <c:v>50</c:v>
                </c:pt>
                <c:pt idx="24">
                  <c:v>26</c:v>
                </c:pt>
                <c:pt idx="25">
                  <c:v>39</c:v>
                </c:pt>
                <c:pt idx="26">
                  <c:v>73</c:v>
                </c:pt>
                <c:pt idx="27">
                  <c:v>85</c:v>
                </c:pt>
                <c:pt idx="28">
                  <c:v>63</c:v>
                </c:pt>
                <c:pt idx="29">
                  <c:v>59</c:v>
                </c:pt>
                <c:pt idx="30">
                  <c:v>57</c:v>
                </c:pt>
                <c:pt idx="31">
                  <c:v>93</c:v>
                </c:pt>
                <c:pt idx="32">
                  <c:v>55</c:v>
                </c:pt>
                <c:pt idx="33">
                  <c:v>50</c:v>
                </c:pt>
                <c:pt idx="34">
                  <c:v>44</c:v>
                </c:pt>
                <c:pt idx="35">
                  <c:v>67</c:v>
                </c:pt>
                <c:pt idx="36">
                  <c:v>44</c:v>
                </c:pt>
                <c:pt idx="37">
                  <c:v>29</c:v>
                </c:pt>
                <c:pt idx="38">
                  <c:v>92</c:v>
                </c:pt>
                <c:pt idx="39">
                  <c:v>36</c:v>
                </c:pt>
                <c:pt idx="40">
                  <c:v>68</c:v>
                </c:pt>
                <c:pt idx="41">
                  <c:v>64</c:v>
                </c:pt>
                <c:pt idx="42">
                  <c:v>67</c:v>
                </c:pt>
                <c:pt idx="43">
                  <c:v>49</c:v>
                </c:pt>
                <c:pt idx="44">
                  <c:v>36</c:v>
                </c:pt>
                <c:pt idx="45">
                  <c:v>49</c:v>
                </c:pt>
                <c:pt idx="46">
                  <c:v>48</c:v>
                </c:pt>
                <c:pt idx="47">
                  <c:v>72</c:v>
                </c:pt>
                <c:pt idx="48">
                  <c:v>68</c:v>
                </c:pt>
                <c:pt idx="49">
                  <c:v>42</c:v>
                </c:pt>
                <c:pt idx="50">
                  <c:v>49</c:v>
                </c:pt>
                <c:pt idx="51">
                  <c:v>74</c:v>
                </c:pt>
                <c:pt idx="52">
                  <c:v>40</c:v>
                </c:pt>
                <c:pt idx="53">
                  <c:v>70</c:v>
                </c:pt>
                <c:pt idx="54">
                  <c:v>45</c:v>
                </c:pt>
                <c:pt idx="55">
                  <c:v>22</c:v>
                </c:pt>
                <c:pt idx="56">
                  <c:v>33</c:v>
                </c:pt>
                <c:pt idx="57">
                  <c:v>25</c:v>
                </c:pt>
                <c:pt idx="58">
                  <c:v>61</c:v>
                </c:pt>
                <c:pt idx="59">
                  <c:v>43</c:v>
                </c:pt>
                <c:pt idx="60">
                  <c:v>87</c:v>
                </c:pt>
                <c:pt idx="61">
                  <c:v>68</c:v>
                </c:pt>
                <c:pt idx="62">
                  <c:v>37</c:v>
                </c:pt>
                <c:pt idx="63">
                  <c:v>44</c:v>
                </c:pt>
                <c:pt idx="64">
                  <c:v>80</c:v>
                </c:pt>
                <c:pt idx="65">
                  <c:v>62</c:v>
                </c:pt>
                <c:pt idx="66">
                  <c:v>37</c:v>
                </c:pt>
                <c:pt idx="67">
                  <c:v>34</c:v>
                </c:pt>
                <c:pt idx="68">
                  <c:v>48</c:v>
                </c:pt>
                <c:pt idx="69">
                  <c:v>39</c:v>
                </c:pt>
              </c:numCache>
            </c:numRef>
          </c:val>
          <c:smooth val="0"/>
        </c:ser>
        <c:ser>
          <c:idx val="3"/>
          <c:order val="1"/>
          <c:tx>
            <c:strRef>
              <c:f>'2007 MC Section DATA'!$D$6</c:f>
              <c:strCache>
                <c:ptCount val="1"/>
                <c:pt idx="0">
                  <c:v>Cumulative Average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'2007 MC Section DATA'!$D$7:$D$76</c:f>
              <c:numCache>
                <c:ptCount val="70"/>
                <c:pt idx="0">
                  <c:v>47</c:v>
                </c:pt>
                <c:pt idx="1">
                  <c:v>62</c:v>
                </c:pt>
                <c:pt idx="2">
                  <c:v>61.333333333333336</c:v>
                </c:pt>
                <c:pt idx="3">
                  <c:v>60.25</c:v>
                </c:pt>
                <c:pt idx="4">
                  <c:v>64.2</c:v>
                </c:pt>
                <c:pt idx="5">
                  <c:v>64</c:v>
                </c:pt>
                <c:pt idx="6">
                  <c:v>67.14285714285714</c:v>
                </c:pt>
                <c:pt idx="7">
                  <c:v>68.75</c:v>
                </c:pt>
                <c:pt idx="8">
                  <c:v>68.77777777777777</c:v>
                </c:pt>
                <c:pt idx="9">
                  <c:v>67.5</c:v>
                </c:pt>
                <c:pt idx="10">
                  <c:v>66.18181818181819</c:v>
                </c:pt>
                <c:pt idx="11">
                  <c:v>65.5</c:v>
                </c:pt>
                <c:pt idx="12">
                  <c:v>65.07692307692308</c:v>
                </c:pt>
                <c:pt idx="13">
                  <c:v>64.42857142857143</c:v>
                </c:pt>
                <c:pt idx="14">
                  <c:v>65.2</c:v>
                </c:pt>
                <c:pt idx="15">
                  <c:v>65.875</c:v>
                </c:pt>
                <c:pt idx="16">
                  <c:v>67.3529411764706</c:v>
                </c:pt>
                <c:pt idx="17">
                  <c:v>68.16666666666667</c:v>
                </c:pt>
                <c:pt idx="18">
                  <c:v>68.89473684210526</c:v>
                </c:pt>
                <c:pt idx="19">
                  <c:v>67.6</c:v>
                </c:pt>
                <c:pt idx="20">
                  <c:v>65.76190476190476</c:v>
                </c:pt>
                <c:pt idx="21">
                  <c:v>65.72727272727273</c:v>
                </c:pt>
                <c:pt idx="22">
                  <c:v>65.8695652173913</c:v>
                </c:pt>
                <c:pt idx="23">
                  <c:v>65.20833333333333</c:v>
                </c:pt>
                <c:pt idx="24">
                  <c:v>63.64</c:v>
                </c:pt>
                <c:pt idx="25">
                  <c:v>62.69230769230769</c:v>
                </c:pt>
                <c:pt idx="26">
                  <c:v>63.074074074074076</c:v>
                </c:pt>
                <c:pt idx="27">
                  <c:v>63.857142857142854</c:v>
                </c:pt>
                <c:pt idx="28">
                  <c:v>63.827586206896555</c:v>
                </c:pt>
                <c:pt idx="29">
                  <c:v>63.666666666666664</c:v>
                </c:pt>
                <c:pt idx="30">
                  <c:v>63.45161290322581</c:v>
                </c:pt>
                <c:pt idx="31">
                  <c:v>64.375</c:v>
                </c:pt>
                <c:pt idx="32">
                  <c:v>64.0909090909091</c:v>
                </c:pt>
                <c:pt idx="33">
                  <c:v>63.6764705882353</c:v>
                </c:pt>
                <c:pt idx="34">
                  <c:v>63.114285714285714</c:v>
                </c:pt>
                <c:pt idx="35">
                  <c:v>63.22222222222222</c:v>
                </c:pt>
                <c:pt idx="36">
                  <c:v>62.7027027027027</c:v>
                </c:pt>
                <c:pt idx="37">
                  <c:v>61.81578947368421</c:v>
                </c:pt>
                <c:pt idx="38">
                  <c:v>62.58974358974359</c:v>
                </c:pt>
                <c:pt idx="39">
                  <c:v>61.925</c:v>
                </c:pt>
                <c:pt idx="40">
                  <c:v>62.073170731707314</c:v>
                </c:pt>
                <c:pt idx="41">
                  <c:v>62.11904761904762</c:v>
                </c:pt>
                <c:pt idx="42">
                  <c:v>62.23255813953488</c:v>
                </c:pt>
                <c:pt idx="43">
                  <c:v>61.93181818181818</c:v>
                </c:pt>
                <c:pt idx="44">
                  <c:v>61.355555555555554</c:v>
                </c:pt>
                <c:pt idx="45">
                  <c:v>61.08695652173913</c:v>
                </c:pt>
                <c:pt idx="46">
                  <c:v>60.808510638297875</c:v>
                </c:pt>
                <c:pt idx="47">
                  <c:v>61.041666666666664</c:v>
                </c:pt>
                <c:pt idx="48">
                  <c:v>61.183673469387756</c:v>
                </c:pt>
                <c:pt idx="49">
                  <c:v>60.8</c:v>
                </c:pt>
                <c:pt idx="50">
                  <c:v>60.568627450980394</c:v>
                </c:pt>
                <c:pt idx="51">
                  <c:v>60.82692307692308</c:v>
                </c:pt>
                <c:pt idx="52">
                  <c:v>60.43396226415094</c:v>
                </c:pt>
                <c:pt idx="53">
                  <c:v>60.611111111111114</c:v>
                </c:pt>
                <c:pt idx="54">
                  <c:v>60.32727272727273</c:v>
                </c:pt>
                <c:pt idx="55">
                  <c:v>59.642857142857146</c:v>
                </c:pt>
                <c:pt idx="56">
                  <c:v>59.175438596491226</c:v>
                </c:pt>
                <c:pt idx="57">
                  <c:v>58.58620689655172</c:v>
                </c:pt>
                <c:pt idx="58">
                  <c:v>58.6271186440678</c:v>
                </c:pt>
                <c:pt idx="59">
                  <c:v>58.36666666666667</c:v>
                </c:pt>
                <c:pt idx="60">
                  <c:v>58.83606557377049</c:v>
                </c:pt>
                <c:pt idx="61">
                  <c:v>58.983870967741936</c:v>
                </c:pt>
                <c:pt idx="62">
                  <c:v>58.63492063492063</c:v>
                </c:pt>
                <c:pt idx="63">
                  <c:v>58.40625</c:v>
                </c:pt>
                <c:pt idx="64">
                  <c:v>58.738461538461536</c:v>
                </c:pt>
                <c:pt idx="65">
                  <c:v>58.78787878787879</c:v>
                </c:pt>
                <c:pt idx="66">
                  <c:v>58.46268656716418</c:v>
                </c:pt>
                <c:pt idx="67">
                  <c:v>58.10294117647059</c:v>
                </c:pt>
                <c:pt idx="68">
                  <c:v>57.95652173913044</c:v>
                </c:pt>
                <c:pt idx="69">
                  <c:v>57.68571428571428</c:v>
                </c:pt>
              </c:numCache>
            </c:numRef>
          </c:val>
          <c:smooth val="0"/>
        </c:ser>
        <c:axId val="37271714"/>
        <c:axId val="67009971"/>
      </c:lineChart>
      <c:catAx>
        <c:axId val="37271714"/>
        <c:scaling>
          <c:orientation val="minMax"/>
        </c:scaling>
        <c:axPos val="b"/>
        <c:title>
          <c:tx>
            <c:rich>
              <a:bodyPr vert="horz" rot="0" anchor="ctr"/>
              <a:lstStyle/>
              <a:p>
                <a:pPr algn="ctr">
                  <a:defRPr/>
                </a:pPr>
                <a:r>
                  <a:rPr lang="en-US" cap="none" sz="1400" b="0" i="0" u="none" baseline="0">
                    <a:latin typeface="Geneva"/>
                    <a:ea typeface="Geneva"/>
                    <a:cs typeface="Geneva"/>
                  </a:rPr>
                  <a:t>Question #</a:t>
                </a:r>
              </a:p>
            </c:rich>
          </c:tx>
          <c:layout/>
          <c:overlay val="0"/>
          <c:spPr>
            <a:noFill/>
            <a:ln>
              <a:noFill/>
            </a:ln>
          </c:spPr>
        </c:title>
        <c:delete val="0"/>
        <c:numFmt formatCode="General" sourceLinked="1"/>
        <c:majorTickMark val="out"/>
        <c:minorTickMark val="none"/>
        <c:tickLblPos val="nextTo"/>
        <c:crossAx val="67009971"/>
        <c:crosses val="autoZero"/>
        <c:auto val="1"/>
        <c:lblOffset val="100"/>
        <c:tickLblSkip val="3"/>
        <c:noMultiLvlLbl val="0"/>
      </c:catAx>
      <c:valAx>
        <c:axId val="67009971"/>
        <c:scaling>
          <c:orientation val="minMax"/>
        </c:scaling>
        <c:axPos val="l"/>
        <c:title>
          <c:tx>
            <c:rich>
              <a:bodyPr vert="horz" rot="-5400000" anchor="ctr"/>
              <a:lstStyle/>
              <a:p>
                <a:pPr algn="ctr">
                  <a:defRPr/>
                </a:pPr>
                <a:r>
                  <a:rPr lang="en-US" cap="none" sz="1400" b="1" i="0" u="none" baseline="0">
                    <a:latin typeface="Geneva"/>
                    <a:ea typeface="Geneva"/>
                    <a:cs typeface="Geneva"/>
                  </a:rPr>
                  <a:t>Percent Correct</a:t>
                </a:r>
              </a:p>
            </c:rich>
          </c:tx>
          <c:layout/>
          <c:overlay val="0"/>
          <c:spPr>
            <a:noFill/>
            <a:ln>
              <a:noFill/>
            </a:ln>
          </c:spPr>
        </c:title>
        <c:majorGridlines/>
        <c:delete val="0"/>
        <c:numFmt formatCode="General" sourceLinked="1"/>
        <c:majorTickMark val="out"/>
        <c:minorTickMark val="none"/>
        <c:tickLblPos val="nextTo"/>
        <c:crossAx val="37271714"/>
        <c:crossesAt val="1"/>
        <c:crossBetween val="between"/>
        <c:dispUnits/>
      </c:valAx>
      <c:spPr>
        <a:noFill/>
        <a:ln w="12700">
          <a:solidFill>
            <a:srgbClr val="808080"/>
          </a:solidFill>
        </a:ln>
      </c:spPr>
    </c:plotArea>
    <c:legend>
      <c:legendPos val="b"/>
      <c:layout>
        <c:manualLayout>
          <c:xMode val="edge"/>
          <c:yMode val="edge"/>
          <c:x val="0.342"/>
          <c:y val="0.945"/>
        </c:manualLayout>
      </c:layout>
      <c:overlay val="0"/>
      <c:txPr>
        <a:bodyPr vert="horz" rot="0"/>
        <a:lstStyle/>
        <a:p>
          <a:pPr>
            <a:defRPr lang="en-US" cap="none" sz="1400" b="0" i="0" u="none" baseline="0">
              <a:latin typeface="Geneva"/>
              <a:ea typeface="Geneva"/>
              <a:cs typeface="Geneva"/>
            </a:defRPr>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Geneva"/>
                <a:ea typeface="Geneva"/>
                <a:cs typeface="Geneva"/>
              </a:rPr>
              <a:t>2002 vs. 2007 APWH Multiple Choice % Correct</a:t>
            </a:r>
            <a:r>
              <a:rPr lang="en-US" cap="none" sz="1400" b="0" i="0" u="none" baseline="0">
                <a:latin typeface="Geneva"/>
                <a:ea typeface="Geneva"/>
                <a:cs typeface="Geneva"/>
              </a:rPr>
              <a:t>
What was students' average score on the multiple choice section?</a:t>
            </a:r>
          </a:p>
        </c:rich>
      </c:tx>
      <c:layout/>
      <c:spPr>
        <a:noFill/>
        <a:ln>
          <a:noFill/>
        </a:ln>
      </c:spPr>
    </c:title>
    <c:plotArea>
      <c:layout>
        <c:manualLayout>
          <c:xMode val="edge"/>
          <c:yMode val="edge"/>
          <c:x val="0.046"/>
          <c:y val="0.22225"/>
          <c:w val="0.9495"/>
          <c:h val="0.65775"/>
        </c:manualLayout>
      </c:layout>
      <c:lineChart>
        <c:grouping val="standard"/>
        <c:varyColors val="0"/>
        <c:ser>
          <c:idx val="1"/>
          <c:order val="0"/>
          <c:tx>
            <c:strRef>
              <c:f>'2002 MC Section DATA'!$D$5</c:f>
              <c:strCache>
                <c:ptCount val="1"/>
                <c:pt idx="0">
                  <c:v>2002 Cumulative Average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val>
            <c:numRef>
              <c:f>'2002 MC Section DATA'!$D$7:$D$76</c:f>
              <c:numCache>
                <c:ptCount val="70"/>
                <c:pt idx="0">
                  <c:v>68</c:v>
                </c:pt>
                <c:pt idx="1">
                  <c:v>67</c:v>
                </c:pt>
                <c:pt idx="2">
                  <c:v>67.33333333333333</c:v>
                </c:pt>
                <c:pt idx="3">
                  <c:v>62.5</c:v>
                </c:pt>
                <c:pt idx="4">
                  <c:v>54.8</c:v>
                </c:pt>
                <c:pt idx="5">
                  <c:v>56.166666666666664</c:v>
                </c:pt>
                <c:pt idx="6">
                  <c:v>56.42857142857143</c:v>
                </c:pt>
                <c:pt idx="7">
                  <c:v>54.625</c:v>
                </c:pt>
                <c:pt idx="8">
                  <c:v>58.55555555555556</c:v>
                </c:pt>
                <c:pt idx="9">
                  <c:v>61.3</c:v>
                </c:pt>
                <c:pt idx="10">
                  <c:v>59.27272727272727</c:v>
                </c:pt>
                <c:pt idx="11">
                  <c:v>58</c:v>
                </c:pt>
                <c:pt idx="12">
                  <c:v>56.23076923076923</c:v>
                </c:pt>
                <c:pt idx="13">
                  <c:v>57.42857142857143</c:v>
                </c:pt>
                <c:pt idx="14">
                  <c:v>58.266666666666666</c:v>
                </c:pt>
                <c:pt idx="15">
                  <c:v>57.5625</c:v>
                </c:pt>
                <c:pt idx="16">
                  <c:v>59.1764705882353</c:v>
                </c:pt>
                <c:pt idx="17">
                  <c:v>59.388888888888886</c:v>
                </c:pt>
                <c:pt idx="18">
                  <c:v>60.1578947368421</c:v>
                </c:pt>
                <c:pt idx="19">
                  <c:v>60.2</c:v>
                </c:pt>
                <c:pt idx="20">
                  <c:v>60.095238095238095</c:v>
                </c:pt>
                <c:pt idx="21">
                  <c:v>59.63636363636363</c:v>
                </c:pt>
                <c:pt idx="22">
                  <c:v>60.34782608695652</c:v>
                </c:pt>
                <c:pt idx="23">
                  <c:v>60.75</c:v>
                </c:pt>
                <c:pt idx="24">
                  <c:v>61.24</c:v>
                </c:pt>
                <c:pt idx="25">
                  <c:v>61.34615384615385</c:v>
                </c:pt>
                <c:pt idx="26">
                  <c:v>61.370370370370374</c:v>
                </c:pt>
                <c:pt idx="27">
                  <c:v>60.32142857142857</c:v>
                </c:pt>
                <c:pt idx="28">
                  <c:v>60.32142857142857</c:v>
                </c:pt>
                <c:pt idx="29">
                  <c:v>59.241379310344826</c:v>
                </c:pt>
                <c:pt idx="30">
                  <c:v>59.3</c:v>
                </c:pt>
                <c:pt idx="31">
                  <c:v>59.354838709677416</c:v>
                </c:pt>
                <c:pt idx="32">
                  <c:v>59.28125</c:v>
                </c:pt>
                <c:pt idx="33">
                  <c:v>59.57575757575758</c:v>
                </c:pt>
                <c:pt idx="34">
                  <c:v>59.44117647058823</c:v>
                </c:pt>
                <c:pt idx="35">
                  <c:v>59.48571428571429</c:v>
                </c:pt>
                <c:pt idx="36">
                  <c:v>58.666666666666664</c:v>
                </c:pt>
                <c:pt idx="37">
                  <c:v>58.37837837837838</c:v>
                </c:pt>
                <c:pt idx="38">
                  <c:v>58.23684210526316</c:v>
                </c:pt>
                <c:pt idx="39">
                  <c:v>58.53846153846154</c:v>
                </c:pt>
                <c:pt idx="40">
                  <c:v>58.5</c:v>
                </c:pt>
                <c:pt idx="41">
                  <c:v>57.80487804878049</c:v>
                </c:pt>
                <c:pt idx="42">
                  <c:v>57.23809523809524</c:v>
                </c:pt>
                <c:pt idx="43">
                  <c:v>57.23255813953488</c:v>
                </c:pt>
                <c:pt idx="44">
                  <c:v>56.97727272727273</c:v>
                </c:pt>
                <c:pt idx="45">
                  <c:v>57.06666666666667</c:v>
                </c:pt>
                <c:pt idx="46">
                  <c:v>56.69565217391305</c:v>
                </c:pt>
                <c:pt idx="47">
                  <c:v>56.40425531914894</c:v>
                </c:pt>
                <c:pt idx="48">
                  <c:v>55.8125</c:v>
                </c:pt>
                <c:pt idx="49">
                  <c:v>55.36734693877551</c:v>
                </c:pt>
                <c:pt idx="50">
                  <c:v>55.3</c:v>
                </c:pt>
                <c:pt idx="51">
                  <c:v>55.05882352941177</c:v>
                </c:pt>
                <c:pt idx="52">
                  <c:v>54.28846153846154</c:v>
                </c:pt>
                <c:pt idx="53">
                  <c:v>53.943396226415096</c:v>
                </c:pt>
                <c:pt idx="54">
                  <c:v>53.166666666666664</c:v>
                </c:pt>
                <c:pt idx="55">
                  <c:v>53.21818181818182</c:v>
                </c:pt>
                <c:pt idx="56">
                  <c:v>52.910714285714285</c:v>
                </c:pt>
                <c:pt idx="57">
                  <c:v>52.98245614035088</c:v>
                </c:pt>
                <c:pt idx="58">
                  <c:v>52.827586206896555</c:v>
                </c:pt>
                <c:pt idx="59">
                  <c:v>52.83050847457627</c:v>
                </c:pt>
                <c:pt idx="60">
                  <c:v>52.93333333333333</c:v>
                </c:pt>
                <c:pt idx="61">
                  <c:v>52.75409836065574</c:v>
                </c:pt>
                <c:pt idx="62">
                  <c:v>52.29032258064516</c:v>
                </c:pt>
                <c:pt idx="63">
                  <c:v>51.6031746031746</c:v>
                </c:pt>
                <c:pt idx="64">
                  <c:v>51.046875</c:v>
                </c:pt>
                <c:pt idx="65">
                  <c:v>50.44615384615385</c:v>
                </c:pt>
                <c:pt idx="66">
                  <c:v>50.40909090909091</c:v>
                </c:pt>
                <c:pt idx="67">
                  <c:v>50.02985074626866</c:v>
                </c:pt>
                <c:pt idx="68">
                  <c:v>50.3235294117647</c:v>
                </c:pt>
                <c:pt idx="69">
                  <c:v>50.17391304347826</c:v>
                </c:pt>
              </c:numCache>
            </c:numRef>
          </c:val>
          <c:smooth val="0"/>
        </c:ser>
        <c:ser>
          <c:idx val="3"/>
          <c:order val="1"/>
          <c:tx>
            <c:strRef>
              <c:f>'2007 MC Section DATA'!$D$5</c:f>
              <c:strCache>
                <c:ptCount val="1"/>
                <c:pt idx="0">
                  <c:v>2007 Cumulative Average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'2007 MC Section DATA'!$D$7:$D$76</c:f>
              <c:numCache>
                <c:ptCount val="70"/>
                <c:pt idx="0">
                  <c:v>47</c:v>
                </c:pt>
                <c:pt idx="1">
                  <c:v>62</c:v>
                </c:pt>
                <c:pt idx="2">
                  <c:v>61.333333333333336</c:v>
                </c:pt>
                <c:pt idx="3">
                  <c:v>60.25</c:v>
                </c:pt>
                <c:pt idx="4">
                  <c:v>64.2</c:v>
                </c:pt>
                <c:pt idx="5">
                  <c:v>64</c:v>
                </c:pt>
                <c:pt idx="6">
                  <c:v>67.14285714285714</c:v>
                </c:pt>
                <c:pt idx="7">
                  <c:v>68.75</c:v>
                </c:pt>
                <c:pt idx="8">
                  <c:v>68.77777777777777</c:v>
                </c:pt>
                <c:pt idx="9">
                  <c:v>67.5</c:v>
                </c:pt>
                <c:pt idx="10">
                  <c:v>66.18181818181819</c:v>
                </c:pt>
                <c:pt idx="11">
                  <c:v>65.5</c:v>
                </c:pt>
                <c:pt idx="12">
                  <c:v>65.07692307692308</c:v>
                </c:pt>
                <c:pt idx="13">
                  <c:v>64.42857142857143</c:v>
                </c:pt>
                <c:pt idx="14">
                  <c:v>65.2</c:v>
                </c:pt>
                <c:pt idx="15">
                  <c:v>65.875</c:v>
                </c:pt>
                <c:pt idx="16">
                  <c:v>67.3529411764706</c:v>
                </c:pt>
                <c:pt idx="17">
                  <c:v>68.16666666666667</c:v>
                </c:pt>
                <c:pt idx="18">
                  <c:v>68.89473684210526</c:v>
                </c:pt>
                <c:pt idx="19">
                  <c:v>67.6</c:v>
                </c:pt>
                <c:pt idx="20">
                  <c:v>65.76190476190476</c:v>
                </c:pt>
                <c:pt idx="21">
                  <c:v>65.72727272727273</c:v>
                </c:pt>
                <c:pt idx="22">
                  <c:v>65.8695652173913</c:v>
                </c:pt>
                <c:pt idx="23">
                  <c:v>65.20833333333333</c:v>
                </c:pt>
                <c:pt idx="24">
                  <c:v>63.64</c:v>
                </c:pt>
                <c:pt idx="25">
                  <c:v>62.69230769230769</c:v>
                </c:pt>
                <c:pt idx="26">
                  <c:v>63.074074074074076</c:v>
                </c:pt>
                <c:pt idx="27">
                  <c:v>63.857142857142854</c:v>
                </c:pt>
                <c:pt idx="28">
                  <c:v>63.827586206896555</c:v>
                </c:pt>
                <c:pt idx="29">
                  <c:v>63.666666666666664</c:v>
                </c:pt>
                <c:pt idx="30">
                  <c:v>63.45161290322581</c:v>
                </c:pt>
                <c:pt idx="31">
                  <c:v>64.375</c:v>
                </c:pt>
                <c:pt idx="32">
                  <c:v>64.0909090909091</c:v>
                </c:pt>
                <c:pt idx="33">
                  <c:v>63.6764705882353</c:v>
                </c:pt>
                <c:pt idx="34">
                  <c:v>63.114285714285714</c:v>
                </c:pt>
                <c:pt idx="35">
                  <c:v>63.22222222222222</c:v>
                </c:pt>
                <c:pt idx="36">
                  <c:v>62.7027027027027</c:v>
                </c:pt>
                <c:pt idx="37">
                  <c:v>61.81578947368421</c:v>
                </c:pt>
                <c:pt idx="38">
                  <c:v>62.58974358974359</c:v>
                </c:pt>
                <c:pt idx="39">
                  <c:v>61.925</c:v>
                </c:pt>
                <c:pt idx="40">
                  <c:v>62.073170731707314</c:v>
                </c:pt>
                <c:pt idx="41">
                  <c:v>62.11904761904762</c:v>
                </c:pt>
                <c:pt idx="42">
                  <c:v>62.23255813953488</c:v>
                </c:pt>
                <c:pt idx="43">
                  <c:v>61.93181818181818</c:v>
                </c:pt>
                <c:pt idx="44">
                  <c:v>61.355555555555554</c:v>
                </c:pt>
                <c:pt idx="45">
                  <c:v>61.08695652173913</c:v>
                </c:pt>
                <c:pt idx="46">
                  <c:v>60.808510638297875</c:v>
                </c:pt>
                <c:pt idx="47">
                  <c:v>61.041666666666664</c:v>
                </c:pt>
                <c:pt idx="48">
                  <c:v>61.183673469387756</c:v>
                </c:pt>
                <c:pt idx="49">
                  <c:v>60.8</c:v>
                </c:pt>
                <c:pt idx="50">
                  <c:v>60.568627450980394</c:v>
                </c:pt>
                <c:pt idx="51">
                  <c:v>60.82692307692308</c:v>
                </c:pt>
                <c:pt idx="52">
                  <c:v>60.43396226415094</c:v>
                </c:pt>
                <c:pt idx="53">
                  <c:v>60.611111111111114</c:v>
                </c:pt>
                <c:pt idx="54">
                  <c:v>60.32727272727273</c:v>
                </c:pt>
                <c:pt idx="55">
                  <c:v>59.642857142857146</c:v>
                </c:pt>
                <c:pt idx="56">
                  <c:v>59.175438596491226</c:v>
                </c:pt>
                <c:pt idx="57">
                  <c:v>58.58620689655172</c:v>
                </c:pt>
                <c:pt idx="58">
                  <c:v>58.6271186440678</c:v>
                </c:pt>
                <c:pt idx="59">
                  <c:v>58.36666666666667</c:v>
                </c:pt>
                <c:pt idx="60">
                  <c:v>58.83606557377049</c:v>
                </c:pt>
                <c:pt idx="61">
                  <c:v>58.983870967741936</c:v>
                </c:pt>
                <c:pt idx="62">
                  <c:v>58.63492063492063</c:v>
                </c:pt>
                <c:pt idx="63">
                  <c:v>58.40625</c:v>
                </c:pt>
                <c:pt idx="64">
                  <c:v>58.738461538461536</c:v>
                </c:pt>
                <c:pt idx="65">
                  <c:v>58.78787878787879</c:v>
                </c:pt>
                <c:pt idx="66">
                  <c:v>58.46268656716418</c:v>
                </c:pt>
                <c:pt idx="67">
                  <c:v>58.10294117647059</c:v>
                </c:pt>
                <c:pt idx="68">
                  <c:v>57.95652173913044</c:v>
                </c:pt>
                <c:pt idx="69">
                  <c:v>57.68571428571428</c:v>
                </c:pt>
              </c:numCache>
            </c:numRef>
          </c:val>
          <c:smooth val="0"/>
        </c:ser>
        <c:axId val="66218828"/>
        <c:axId val="59098541"/>
      </c:lineChart>
      <c:catAx>
        <c:axId val="66218828"/>
        <c:scaling>
          <c:orientation val="minMax"/>
        </c:scaling>
        <c:axPos val="b"/>
        <c:title>
          <c:tx>
            <c:rich>
              <a:bodyPr vert="horz" rot="0" anchor="ctr"/>
              <a:lstStyle/>
              <a:p>
                <a:pPr algn="ctr">
                  <a:defRPr/>
                </a:pPr>
                <a:r>
                  <a:rPr lang="en-US" cap="none" sz="1400" b="0" i="0" u="none" baseline="0">
                    <a:latin typeface="Geneva"/>
                    <a:ea typeface="Geneva"/>
                    <a:cs typeface="Geneva"/>
                  </a:rPr>
                  <a:t>Question #</a:t>
                </a:r>
              </a:p>
            </c:rich>
          </c:tx>
          <c:layout/>
          <c:overlay val="0"/>
          <c:spPr>
            <a:noFill/>
            <a:ln>
              <a:noFill/>
            </a:ln>
          </c:spPr>
        </c:title>
        <c:delete val="0"/>
        <c:numFmt formatCode="General" sourceLinked="1"/>
        <c:majorTickMark val="out"/>
        <c:minorTickMark val="none"/>
        <c:tickLblPos val="nextTo"/>
        <c:crossAx val="59098541"/>
        <c:crosses val="autoZero"/>
        <c:auto val="1"/>
        <c:lblOffset val="100"/>
        <c:tickLblSkip val="3"/>
        <c:noMultiLvlLbl val="0"/>
      </c:catAx>
      <c:valAx>
        <c:axId val="59098541"/>
        <c:scaling>
          <c:orientation val="minMax"/>
          <c:max val="100"/>
        </c:scaling>
        <c:axPos val="l"/>
        <c:title>
          <c:tx>
            <c:rich>
              <a:bodyPr vert="horz" rot="-5400000" anchor="ctr"/>
              <a:lstStyle/>
              <a:p>
                <a:pPr algn="ctr">
                  <a:defRPr/>
                </a:pPr>
                <a:r>
                  <a:rPr lang="en-US" cap="none" sz="1400" b="1" i="0" u="none" baseline="0">
                    <a:latin typeface="Geneva"/>
                    <a:ea typeface="Geneva"/>
                    <a:cs typeface="Geneva"/>
                  </a:rPr>
                  <a:t>Percent Correct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6218828"/>
        <c:crossesAt val="1"/>
        <c:crossBetween val="between"/>
        <c:dispUnits/>
      </c:valAx>
      <c:spPr>
        <a:noFill/>
        <a:ln w="12700">
          <a:solidFill>
            <a:srgbClr val="808080"/>
          </a:solidFill>
        </a:ln>
      </c:spPr>
    </c:plotArea>
    <c:legend>
      <c:legendPos val="t"/>
      <c:layout/>
      <c:overlay val="0"/>
      <c:txPr>
        <a:bodyPr vert="horz" rot="0"/>
        <a:lstStyle/>
        <a:p>
          <a:pPr>
            <a:defRPr lang="en-US" cap="none" sz="1400" b="0" i="0" u="none" baseline="0">
              <a:latin typeface="Geneva"/>
              <a:ea typeface="Geneva"/>
              <a:cs typeface="Geneva"/>
            </a:defRPr>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Geneva"/>
                <a:ea typeface="Geneva"/>
                <a:cs typeface="Geneva"/>
              </a:rPr>
              <a:t>The "Cliff" - 2002 APWH MC Section</a:t>
            </a:r>
            <a:r>
              <a:rPr lang="en-US" cap="none" sz="1400" b="0" i="0" u="none" baseline="0">
                <a:latin typeface="Geneva"/>
                <a:ea typeface="Geneva"/>
                <a:cs typeface="Geneva"/>
              </a:rPr>
              <a:t>
</a:t>
            </a:r>
            <a:r>
              <a:rPr lang="en-US" cap="none" sz="1300" b="1" i="0" u="none" baseline="0">
                <a:latin typeface="Geneva"/>
                <a:ea typeface="Geneva"/>
                <a:cs typeface="Geneva"/>
              </a:rPr>
              <a:t>Shows the % of questions #1-10 students answered correctly,
then the % of questions #11-20 answered correctly, etc.</a:t>
            </a:r>
          </a:p>
        </c:rich>
      </c:tx>
      <c:layout/>
      <c:spPr>
        <a:noFill/>
        <a:ln>
          <a:noFill/>
        </a:ln>
      </c:spPr>
    </c:title>
    <c:plotArea>
      <c:layout>
        <c:manualLayout>
          <c:xMode val="edge"/>
          <c:yMode val="edge"/>
          <c:x val="0.04825"/>
          <c:y val="0.1475"/>
          <c:w val="0.94825"/>
          <c:h val="0.73525"/>
        </c:manualLayout>
      </c:layout>
      <c:lineChart>
        <c:grouping val="standard"/>
        <c:varyColors val="0"/>
        <c:ser>
          <c:idx val="0"/>
          <c:order val="0"/>
          <c:tx>
            <c:strRef>
              <c:f>'2002 MC Section DATA'!$E$6</c:f>
              <c:strCache>
                <c:ptCount val="1"/>
                <c:pt idx="0">
                  <c:v>Average of 10 Questions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'2002 MC Section DATA'!$E$7:$E$76</c:f>
              <c:numCache>
                <c:ptCount val="70"/>
                <c:pt idx="0">
                  <c:v>61.3</c:v>
                </c:pt>
                <c:pt idx="1">
                  <c:v>61.3</c:v>
                </c:pt>
                <c:pt idx="2">
                  <c:v>61.3</c:v>
                </c:pt>
                <c:pt idx="3">
                  <c:v>61.3</c:v>
                </c:pt>
                <c:pt idx="4">
                  <c:v>61.3</c:v>
                </c:pt>
                <c:pt idx="5">
                  <c:v>61.3</c:v>
                </c:pt>
                <c:pt idx="6">
                  <c:v>61.3</c:v>
                </c:pt>
                <c:pt idx="7">
                  <c:v>61.3</c:v>
                </c:pt>
                <c:pt idx="8">
                  <c:v>61.3</c:v>
                </c:pt>
                <c:pt idx="9">
                  <c:v>61.3</c:v>
                </c:pt>
                <c:pt idx="10">
                  <c:v>59.1</c:v>
                </c:pt>
                <c:pt idx="11">
                  <c:v>59.1</c:v>
                </c:pt>
                <c:pt idx="12">
                  <c:v>59.1</c:v>
                </c:pt>
                <c:pt idx="13">
                  <c:v>59.1</c:v>
                </c:pt>
                <c:pt idx="14">
                  <c:v>59.1</c:v>
                </c:pt>
                <c:pt idx="15">
                  <c:v>59.1</c:v>
                </c:pt>
                <c:pt idx="16">
                  <c:v>59.1</c:v>
                </c:pt>
                <c:pt idx="17">
                  <c:v>59.1</c:v>
                </c:pt>
                <c:pt idx="18">
                  <c:v>59.1</c:v>
                </c:pt>
                <c:pt idx="19">
                  <c:v>59.1</c:v>
                </c:pt>
                <c:pt idx="20">
                  <c:v>57.111111111111114</c:v>
                </c:pt>
                <c:pt idx="21">
                  <c:v>57.111111111111114</c:v>
                </c:pt>
                <c:pt idx="22">
                  <c:v>57.111111111111114</c:v>
                </c:pt>
                <c:pt idx="23">
                  <c:v>57.111111111111114</c:v>
                </c:pt>
                <c:pt idx="24">
                  <c:v>57.111111111111114</c:v>
                </c:pt>
                <c:pt idx="25">
                  <c:v>57.111111111111114</c:v>
                </c:pt>
                <c:pt idx="26">
                  <c:v>57.111111111111114</c:v>
                </c:pt>
                <c:pt idx="27">
                  <c:v>57.111111111111114</c:v>
                </c:pt>
                <c:pt idx="28">
                  <c:v>57.111111111111114</c:v>
                </c:pt>
                <c:pt idx="29">
                  <c:v>57.111111111111114</c:v>
                </c:pt>
                <c:pt idx="30">
                  <c:v>56.5</c:v>
                </c:pt>
                <c:pt idx="31">
                  <c:v>56.5</c:v>
                </c:pt>
                <c:pt idx="32">
                  <c:v>56.5</c:v>
                </c:pt>
                <c:pt idx="33">
                  <c:v>56.5</c:v>
                </c:pt>
                <c:pt idx="34">
                  <c:v>56.5</c:v>
                </c:pt>
                <c:pt idx="35">
                  <c:v>56.5</c:v>
                </c:pt>
                <c:pt idx="36">
                  <c:v>56.5</c:v>
                </c:pt>
                <c:pt idx="37">
                  <c:v>56.5</c:v>
                </c:pt>
                <c:pt idx="38">
                  <c:v>56.5</c:v>
                </c:pt>
                <c:pt idx="39">
                  <c:v>56.5</c:v>
                </c:pt>
                <c:pt idx="40">
                  <c:v>43</c:v>
                </c:pt>
                <c:pt idx="41">
                  <c:v>43</c:v>
                </c:pt>
                <c:pt idx="42">
                  <c:v>43</c:v>
                </c:pt>
                <c:pt idx="43">
                  <c:v>43</c:v>
                </c:pt>
                <c:pt idx="44">
                  <c:v>43</c:v>
                </c:pt>
                <c:pt idx="45">
                  <c:v>43</c:v>
                </c:pt>
                <c:pt idx="46">
                  <c:v>43</c:v>
                </c:pt>
                <c:pt idx="47">
                  <c:v>43</c:v>
                </c:pt>
                <c:pt idx="48">
                  <c:v>43</c:v>
                </c:pt>
                <c:pt idx="49">
                  <c:v>43</c:v>
                </c:pt>
                <c:pt idx="50">
                  <c:v>40.4</c:v>
                </c:pt>
                <c:pt idx="51">
                  <c:v>40.4</c:v>
                </c:pt>
                <c:pt idx="52">
                  <c:v>40.4</c:v>
                </c:pt>
                <c:pt idx="53">
                  <c:v>40.4</c:v>
                </c:pt>
                <c:pt idx="54">
                  <c:v>40.4</c:v>
                </c:pt>
                <c:pt idx="55">
                  <c:v>40.4</c:v>
                </c:pt>
                <c:pt idx="56">
                  <c:v>40.4</c:v>
                </c:pt>
                <c:pt idx="57">
                  <c:v>40.4</c:v>
                </c:pt>
                <c:pt idx="58">
                  <c:v>40.4</c:v>
                </c:pt>
                <c:pt idx="59">
                  <c:v>40.4</c:v>
                </c:pt>
                <c:pt idx="60">
                  <c:v>34.5</c:v>
                </c:pt>
                <c:pt idx="61">
                  <c:v>34.5</c:v>
                </c:pt>
                <c:pt idx="62">
                  <c:v>34.5</c:v>
                </c:pt>
                <c:pt idx="63">
                  <c:v>34.5</c:v>
                </c:pt>
                <c:pt idx="64">
                  <c:v>34.5</c:v>
                </c:pt>
                <c:pt idx="65">
                  <c:v>34.5</c:v>
                </c:pt>
                <c:pt idx="66">
                  <c:v>34.5</c:v>
                </c:pt>
                <c:pt idx="67">
                  <c:v>34.5</c:v>
                </c:pt>
                <c:pt idx="68">
                  <c:v>34.5</c:v>
                </c:pt>
                <c:pt idx="69">
                  <c:v>34.5</c:v>
                </c:pt>
              </c:numCache>
            </c:numRef>
          </c:val>
          <c:smooth val="0"/>
        </c:ser>
        <c:axId val="62124822"/>
        <c:axId val="22252487"/>
      </c:lineChart>
      <c:catAx>
        <c:axId val="62124822"/>
        <c:scaling>
          <c:orientation val="minMax"/>
        </c:scaling>
        <c:axPos val="b"/>
        <c:title>
          <c:tx>
            <c:rich>
              <a:bodyPr vert="horz" rot="0" anchor="ctr"/>
              <a:lstStyle/>
              <a:p>
                <a:pPr algn="ctr">
                  <a:defRPr/>
                </a:pPr>
                <a:r>
                  <a:rPr lang="en-US" cap="none" sz="1400" b="0" i="0" u="none" baseline="0">
                    <a:latin typeface="Geneva"/>
                    <a:ea typeface="Geneva"/>
                    <a:cs typeface="Geneva"/>
                  </a:rPr>
                  <a:t>Question #</a:t>
                </a:r>
              </a:p>
            </c:rich>
          </c:tx>
          <c:layout/>
          <c:overlay val="0"/>
          <c:spPr>
            <a:noFill/>
            <a:ln>
              <a:noFill/>
            </a:ln>
          </c:spPr>
        </c:title>
        <c:delete val="0"/>
        <c:numFmt formatCode="General" sourceLinked="1"/>
        <c:majorTickMark val="out"/>
        <c:minorTickMark val="none"/>
        <c:tickLblPos val="nextTo"/>
        <c:crossAx val="22252487"/>
        <c:crosses val="autoZero"/>
        <c:auto val="1"/>
        <c:lblOffset val="100"/>
        <c:tickLblSkip val="3"/>
        <c:noMultiLvlLbl val="0"/>
      </c:catAx>
      <c:valAx>
        <c:axId val="22252487"/>
        <c:scaling>
          <c:orientation val="minMax"/>
          <c:max val="100"/>
        </c:scaling>
        <c:axPos val="l"/>
        <c:title>
          <c:tx>
            <c:rich>
              <a:bodyPr vert="horz" rot="-5400000" anchor="ctr"/>
              <a:lstStyle/>
              <a:p>
                <a:pPr algn="ctr">
                  <a:defRPr/>
                </a:pPr>
                <a:r>
                  <a:rPr lang="en-US" cap="none" sz="1400" b="1" i="0" u="none" baseline="0">
                    <a:latin typeface="Geneva"/>
                    <a:ea typeface="Geneva"/>
                    <a:cs typeface="Geneva"/>
                  </a:rPr>
                  <a:t>Percent Correct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2124822"/>
        <c:crossesAt val="1"/>
        <c:crossBetween val="between"/>
        <c:dispUnits/>
      </c:valAx>
      <c:spPr>
        <a:noFill/>
        <a:ln w="12700">
          <a:solidFill>
            <a:srgbClr val="808080"/>
          </a:solidFill>
        </a:ln>
      </c:spPr>
    </c:plotArea>
    <c:legend>
      <c:legendPos val="b"/>
      <c:layout>
        <c:manualLayout>
          <c:xMode val="edge"/>
          <c:yMode val="edge"/>
          <c:x val="0.39225"/>
          <c:y val="0.947"/>
        </c:manualLayout>
      </c:layout>
      <c:overlay val="0"/>
      <c:txPr>
        <a:bodyPr vert="horz" rot="0"/>
        <a:lstStyle/>
        <a:p>
          <a:pPr>
            <a:defRPr lang="en-US" cap="none" sz="1400" b="0" i="0" u="none" baseline="0">
              <a:latin typeface="Geneva"/>
              <a:ea typeface="Geneva"/>
              <a:cs typeface="Geneva"/>
            </a:defRPr>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t>Comparing AP Students to Students with Comparable Academic Profiles</a:t>
            </a:r>
            <a:r>
              <a:rPr lang="en-US" cap="none" sz="1600" b="1" i="0" u="none" baseline="0"/>
              <a:t>
</a:t>
            </a:r>
            <a:r>
              <a:rPr lang="en-US" cap="none" sz="1400" b="1" i="1" u="none" baseline="0"/>
              <a:t>How much </a:t>
            </a:r>
            <a:r>
              <a:rPr lang="en-US" cap="none" sz="1400" b="1" i="1" u="sng" baseline="0"/>
              <a:t>more likely</a:t>
            </a:r>
            <a:r>
              <a:rPr lang="en-US" cap="none" sz="1400" b="1" i="1" u="none" baseline="0"/>
              <a:t> were AP students to graduate from college?</a:t>
            </a:r>
          </a:p>
        </c:rich>
      </c:tx>
      <c:layout>
        <c:manualLayout>
          <c:xMode val="factor"/>
          <c:yMode val="factor"/>
          <c:x val="0"/>
          <c:y val="-0.00175"/>
        </c:manualLayout>
      </c:layout>
      <c:spPr>
        <a:noFill/>
        <a:ln>
          <a:noFill/>
        </a:ln>
      </c:spPr>
    </c:title>
    <c:plotArea>
      <c:layout>
        <c:manualLayout>
          <c:xMode val="edge"/>
          <c:yMode val="edge"/>
          <c:x val="0.01175"/>
          <c:y val="0.2105"/>
          <c:w val="0.9765"/>
          <c:h val="0.7735"/>
        </c:manualLayout>
      </c:layout>
      <c:barChart>
        <c:barDir val="col"/>
        <c:grouping val="clustered"/>
        <c:varyColors val="0"/>
        <c:ser>
          <c:idx val="0"/>
          <c:order val="0"/>
          <c:tx>
            <c:strRef>
              <c:f>'Why Take AP DATA'!$B$40</c:f>
              <c:strCache>
                <c:ptCount val="1"/>
                <c:pt idx="0">
                  <c:v>AP Exam Grade of 3-4-5</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50" b="1" i="0" u="none" baseline="0"/>
                </a:pPr>
              </a:p>
            </c:txPr>
            <c:dLblPos val="inEnd"/>
            <c:showLegendKey val="0"/>
            <c:showVal val="1"/>
            <c:showBubbleSize val="0"/>
            <c:showCatName val="0"/>
            <c:showSerName val="0"/>
            <c:showPercent val="0"/>
          </c:dLbls>
          <c:cat>
            <c:strRef>
              <c:f>'Why Take AP DATA'!$A$41:$A$45</c:f>
              <c:strCache>
                <c:ptCount val="5"/>
                <c:pt idx="0">
                  <c:v>African American</c:v>
                </c:pt>
                <c:pt idx="1">
                  <c:v>Hispanic</c:v>
                </c:pt>
                <c:pt idx="2">
                  <c:v>White</c:v>
                </c:pt>
                <c:pt idx="3">
                  <c:v>Low Income</c:v>
                </c:pt>
                <c:pt idx="4">
                  <c:v>Not Low Income</c:v>
                </c:pt>
              </c:strCache>
            </c:strRef>
          </c:cat>
          <c:val>
            <c:numRef>
              <c:f>'Why Take AP DATA'!$B$41:$B$45</c:f>
              <c:numCache>
                <c:ptCount val="5"/>
                <c:pt idx="0">
                  <c:v>0.28</c:v>
                </c:pt>
                <c:pt idx="1">
                  <c:v>0.28</c:v>
                </c:pt>
                <c:pt idx="2">
                  <c:v>0.33</c:v>
                </c:pt>
                <c:pt idx="3">
                  <c:v>0.26</c:v>
                </c:pt>
                <c:pt idx="4">
                  <c:v>0.34</c:v>
                </c:pt>
              </c:numCache>
            </c:numRef>
          </c:val>
        </c:ser>
        <c:ser>
          <c:idx val="1"/>
          <c:order val="1"/>
          <c:tx>
            <c:strRef>
              <c:f>'Why Take AP DATA'!$C$40</c:f>
              <c:strCache>
                <c:ptCount val="1"/>
                <c:pt idx="0">
                  <c:v>AP Exam Grade of 1-2</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50" b="1" i="0" u="none" baseline="0"/>
                </a:pPr>
              </a:p>
            </c:txPr>
            <c:dLblPos val="inEnd"/>
            <c:showLegendKey val="0"/>
            <c:showVal val="1"/>
            <c:showBubbleSize val="0"/>
            <c:showCatName val="0"/>
            <c:showSerName val="0"/>
            <c:showPercent val="0"/>
          </c:dLbls>
          <c:cat>
            <c:strRef>
              <c:f>'Why Take AP DATA'!$A$41:$A$45</c:f>
              <c:strCache>
                <c:ptCount val="5"/>
                <c:pt idx="0">
                  <c:v>African American</c:v>
                </c:pt>
                <c:pt idx="1">
                  <c:v>Hispanic</c:v>
                </c:pt>
                <c:pt idx="2">
                  <c:v>White</c:v>
                </c:pt>
                <c:pt idx="3">
                  <c:v>Low Income</c:v>
                </c:pt>
                <c:pt idx="4">
                  <c:v>Not Low Income</c:v>
                </c:pt>
              </c:strCache>
            </c:strRef>
          </c:cat>
          <c:val>
            <c:numRef>
              <c:f>'Why Take AP DATA'!$C$41:$C$45</c:f>
              <c:numCache>
                <c:ptCount val="5"/>
                <c:pt idx="0">
                  <c:v>0.22</c:v>
                </c:pt>
                <c:pt idx="1">
                  <c:v>0.12</c:v>
                </c:pt>
                <c:pt idx="2">
                  <c:v>0.22</c:v>
                </c:pt>
                <c:pt idx="3">
                  <c:v>0.17</c:v>
                </c:pt>
                <c:pt idx="4">
                  <c:v>0.23</c:v>
                </c:pt>
              </c:numCache>
            </c:numRef>
          </c:val>
        </c:ser>
        <c:ser>
          <c:idx val="2"/>
          <c:order val="2"/>
          <c:tx>
            <c:strRef>
              <c:f>'Why Take AP DATA'!$D$40</c:f>
              <c:strCache>
                <c:ptCount val="1"/>
                <c:pt idx="0">
                  <c:v>Took AP Course, but not Exam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50" b="1" i="0" u="none" baseline="0"/>
                </a:pPr>
              </a:p>
            </c:txPr>
            <c:dLblPos val="inEnd"/>
            <c:showLegendKey val="0"/>
            <c:showVal val="1"/>
            <c:showBubbleSize val="0"/>
            <c:showCatName val="0"/>
            <c:showSerName val="0"/>
            <c:showPercent val="0"/>
          </c:dLbls>
          <c:cat>
            <c:strRef>
              <c:f>'Why Take AP DATA'!$A$41:$A$45</c:f>
              <c:strCache>
                <c:ptCount val="5"/>
                <c:pt idx="0">
                  <c:v>African American</c:v>
                </c:pt>
                <c:pt idx="1">
                  <c:v>Hispanic</c:v>
                </c:pt>
                <c:pt idx="2">
                  <c:v>White</c:v>
                </c:pt>
                <c:pt idx="3">
                  <c:v>Low Income</c:v>
                </c:pt>
                <c:pt idx="4">
                  <c:v>Not Low Income</c:v>
                </c:pt>
              </c:strCache>
            </c:strRef>
          </c:cat>
          <c:val>
            <c:numRef>
              <c:f>'Why Take AP DATA'!$D$41:$D$45</c:f>
              <c:numCache>
                <c:ptCount val="5"/>
                <c:pt idx="0">
                  <c:v>0.16</c:v>
                </c:pt>
                <c:pt idx="1">
                  <c:v>0.1</c:v>
                </c:pt>
                <c:pt idx="2">
                  <c:v>0.2</c:v>
                </c:pt>
                <c:pt idx="3">
                  <c:v>0.12</c:v>
                </c:pt>
                <c:pt idx="4">
                  <c:v>0.19</c:v>
                </c:pt>
              </c:numCache>
            </c:numRef>
          </c:val>
        </c:ser>
        <c:gapWidth val="100"/>
        <c:axId val="4003316"/>
        <c:axId val="36029845"/>
      </c:barChart>
      <c:catAx>
        <c:axId val="4003316"/>
        <c:scaling>
          <c:orientation val="minMax"/>
        </c:scaling>
        <c:axPos val="b"/>
        <c:delete val="0"/>
        <c:numFmt formatCode="General" sourceLinked="1"/>
        <c:majorTickMark val="out"/>
        <c:minorTickMark val="none"/>
        <c:tickLblPos val="nextTo"/>
        <c:txPr>
          <a:bodyPr/>
          <a:lstStyle/>
          <a:p>
            <a:pPr>
              <a:defRPr lang="en-US" cap="none" sz="1150" b="1" i="0" u="none" baseline="0"/>
            </a:pPr>
          </a:p>
        </c:txPr>
        <c:crossAx val="36029845"/>
        <c:crosses val="autoZero"/>
        <c:auto val="1"/>
        <c:lblOffset val="100"/>
        <c:noMultiLvlLbl val="0"/>
      </c:catAx>
      <c:valAx>
        <c:axId val="36029845"/>
        <c:scaling>
          <c:orientation val="minMax"/>
        </c:scaling>
        <c:axPos val="l"/>
        <c:majorGridlines>
          <c:spPr>
            <a:ln w="3175">
              <a:solidFill/>
              <a:prstDash val="sysDot"/>
            </a:ln>
          </c:spPr>
        </c:majorGridlines>
        <c:delete val="0"/>
        <c:numFmt formatCode="General" sourceLinked="1"/>
        <c:majorTickMark val="out"/>
        <c:minorTickMark val="none"/>
        <c:tickLblPos val="nextTo"/>
        <c:crossAx val="4003316"/>
        <c:crossesAt val="1"/>
        <c:crossBetween val="between"/>
        <c:dispUnits/>
      </c:valAx>
      <c:spPr>
        <a:noFill/>
        <a:ln w="12700">
          <a:solidFill>
            <a:srgbClr val="808080"/>
          </a:solidFill>
        </a:ln>
      </c:spPr>
    </c:plotArea>
    <c:legend>
      <c:legendPos val="t"/>
      <c:layout>
        <c:manualLayout>
          <c:xMode val="edge"/>
          <c:yMode val="edge"/>
          <c:x val="0.158"/>
          <c:y val="0.14175"/>
        </c:manualLayout>
      </c:layout>
      <c:overlay val="0"/>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Geneva"/>
                <a:ea typeface="Geneva"/>
                <a:cs typeface="Geneva"/>
              </a:rPr>
              <a:t>"Cliff? What Cliff?" - 2007 APWH MC Section</a:t>
            </a:r>
            <a:r>
              <a:rPr lang="en-US" cap="none" sz="1400" b="0" i="0" u="none" baseline="0">
                <a:latin typeface="Geneva"/>
                <a:ea typeface="Geneva"/>
                <a:cs typeface="Geneva"/>
              </a:rPr>
              <a:t>
</a:t>
            </a:r>
            <a:r>
              <a:rPr lang="en-US" cap="none" sz="1300" b="1" i="0" u="none" baseline="0">
                <a:latin typeface="Geneva"/>
                <a:ea typeface="Geneva"/>
                <a:cs typeface="Geneva"/>
              </a:rPr>
              <a:t>Shows the % of questions #1-10 students answered correctly,
then the % of questions #11-20 answered correctly, etc.</a:t>
            </a:r>
          </a:p>
        </c:rich>
      </c:tx>
      <c:layout/>
      <c:spPr>
        <a:noFill/>
        <a:ln>
          <a:noFill/>
        </a:ln>
      </c:spPr>
    </c:title>
    <c:plotArea>
      <c:layout>
        <c:manualLayout>
          <c:xMode val="edge"/>
          <c:yMode val="edge"/>
          <c:x val="0.04825"/>
          <c:y val="0.1475"/>
          <c:w val="0.94825"/>
          <c:h val="0.73525"/>
        </c:manualLayout>
      </c:layout>
      <c:lineChart>
        <c:grouping val="standard"/>
        <c:varyColors val="0"/>
        <c:ser>
          <c:idx val="0"/>
          <c:order val="0"/>
          <c:tx>
            <c:strRef>
              <c:f>'2007 MC Section DATA'!$E$6</c:f>
              <c:strCache>
                <c:ptCount val="1"/>
                <c:pt idx="0">
                  <c:v>Average of 10 Questions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'2007 MC Section DATA'!$E$7:$E$76</c:f>
              <c:numCache>
                <c:ptCount val="70"/>
                <c:pt idx="0">
                  <c:v>67.5</c:v>
                </c:pt>
                <c:pt idx="1">
                  <c:v>67.5</c:v>
                </c:pt>
                <c:pt idx="2">
                  <c:v>67.5</c:v>
                </c:pt>
                <c:pt idx="3">
                  <c:v>67.5</c:v>
                </c:pt>
                <c:pt idx="4">
                  <c:v>67.5</c:v>
                </c:pt>
                <c:pt idx="5">
                  <c:v>67.5</c:v>
                </c:pt>
                <c:pt idx="6">
                  <c:v>67.5</c:v>
                </c:pt>
                <c:pt idx="7">
                  <c:v>67.5</c:v>
                </c:pt>
                <c:pt idx="8">
                  <c:v>67.5</c:v>
                </c:pt>
                <c:pt idx="9">
                  <c:v>67.5</c:v>
                </c:pt>
                <c:pt idx="10">
                  <c:v>67.7</c:v>
                </c:pt>
                <c:pt idx="11">
                  <c:v>67.7</c:v>
                </c:pt>
                <c:pt idx="12">
                  <c:v>67.7</c:v>
                </c:pt>
                <c:pt idx="13">
                  <c:v>67.7</c:v>
                </c:pt>
                <c:pt idx="14">
                  <c:v>67.7</c:v>
                </c:pt>
                <c:pt idx="15">
                  <c:v>67.7</c:v>
                </c:pt>
                <c:pt idx="16">
                  <c:v>67.7</c:v>
                </c:pt>
                <c:pt idx="17">
                  <c:v>67.7</c:v>
                </c:pt>
                <c:pt idx="18">
                  <c:v>67.7</c:v>
                </c:pt>
                <c:pt idx="19">
                  <c:v>67.7</c:v>
                </c:pt>
                <c:pt idx="20">
                  <c:v>55.8</c:v>
                </c:pt>
                <c:pt idx="21">
                  <c:v>55.8</c:v>
                </c:pt>
                <c:pt idx="22">
                  <c:v>55.8</c:v>
                </c:pt>
                <c:pt idx="23">
                  <c:v>55.8</c:v>
                </c:pt>
                <c:pt idx="24">
                  <c:v>55.8</c:v>
                </c:pt>
                <c:pt idx="25">
                  <c:v>55.8</c:v>
                </c:pt>
                <c:pt idx="26">
                  <c:v>55.8</c:v>
                </c:pt>
                <c:pt idx="27">
                  <c:v>55.8</c:v>
                </c:pt>
                <c:pt idx="28">
                  <c:v>55.8</c:v>
                </c:pt>
                <c:pt idx="29">
                  <c:v>55.8</c:v>
                </c:pt>
                <c:pt idx="30">
                  <c:v>56.7</c:v>
                </c:pt>
                <c:pt idx="31">
                  <c:v>56.7</c:v>
                </c:pt>
                <c:pt idx="32">
                  <c:v>56.7</c:v>
                </c:pt>
                <c:pt idx="33">
                  <c:v>56.7</c:v>
                </c:pt>
                <c:pt idx="34">
                  <c:v>56.7</c:v>
                </c:pt>
                <c:pt idx="35">
                  <c:v>56.7</c:v>
                </c:pt>
                <c:pt idx="36">
                  <c:v>56.7</c:v>
                </c:pt>
                <c:pt idx="37">
                  <c:v>56.7</c:v>
                </c:pt>
                <c:pt idx="38">
                  <c:v>56.7</c:v>
                </c:pt>
                <c:pt idx="39">
                  <c:v>56.7</c:v>
                </c:pt>
                <c:pt idx="40">
                  <c:v>56.3</c:v>
                </c:pt>
                <c:pt idx="41">
                  <c:v>56.3</c:v>
                </c:pt>
                <c:pt idx="42">
                  <c:v>56.3</c:v>
                </c:pt>
                <c:pt idx="43">
                  <c:v>56.3</c:v>
                </c:pt>
                <c:pt idx="44">
                  <c:v>56.3</c:v>
                </c:pt>
                <c:pt idx="45">
                  <c:v>56.3</c:v>
                </c:pt>
                <c:pt idx="46">
                  <c:v>56.3</c:v>
                </c:pt>
                <c:pt idx="47">
                  <c:v>56.3</c:v>
                </c:pt>
                <c:pt idx="48">
                  <c:v>56.3</c:v>
                </c:pt>
                <c:pt idx="49">
                  <c:v>56.3</c:v>
                </c:pt>
                <c:pt idx="50">
                  <c:v>46.2</c:v>
                </c:pt>
                <c:pt idx="51">
                  <c:v>46.2</c:v>
                </c:pt>
                <c:pt idx="52">
                  <c:v>46.2</c:v>
                </c:pt>
                <c:pt idx="53">
                  <c:v>46.2</c:v>
                </c:pt>
                <c:pt idx="54">
                  <c:v>46.2</c:v>
                </c:pt>
                <c:pt idx="55">
                  <c:v>46.2</c:v>
                </c:pt>
                <c:pt idx="56">
                  <c:v>46.2</c:v>
                </c:pt>
                <c:pt idx="57">
                  <c:v>46.2</c:v>
                </c:pt>
                <c:pt idx="58">
                  <c:v>46.2</c:v>
                </c:pt>
                <c:pt idx="59">
                  <c:v>46.2</c:v>
                </c:pt>
                <c:pt idx="60">
                  <c:v>53.6</c:v>
                </c:pt>
                <c:pt idx="61">
                  <c:v>53.6</c:v>
                </c:pt>
                <c:pt idx="62">
                  <c:v>53.6</c:v>
                </c:pt>
                <c:pt idx="63">
                  <c:v>53.6</c:v>
                </c:pt>
                <c:pt idx="64">
                  <c:v>53.6</c:v>
                </c:pt>
                <c:pt idx="65">
                  <c:v>53.6</c:v>
                </c:pt>
                <c:pt idx="66">
                  <c:v>53.6</c:v>
                </c:pt>
                <c:pt idx="67">
                  <c:v>53.6</c:v>
                </c:pt>
                <c:pt idx="68">
                  <c:v>53.6</c:v>
                </c:pt>
                <c:pt idx="69">
                  <c:v>53.6</c:v>
                </c:pt>
              </c:numCache>
            </c:numRef>
          </c:val>
          <c:smooth val="0"/>
        </c:ser>
        <c:axId val="66054656"/>
        <c:axId val="57620993"/>
      </c:lineChart>
      <c:catAx>
        <c:axId val="66054656"/>
        <c:scaling>
          <c:orientation val="minMax"/>
        </c:scaling>
        <c:axPos val="b"/>
        <c:title>
          <c:tx>
            <c:rich>
              <a:bodyPr vert="horz" rot="0" anchor="ctr"/>
              <a:lstStyle/>
              <a:p>
                <a:pPr algn="ctr">
                  <a:defRPr/>
                </a:pPr>
                <a:r>
                  <a:rPr lang="en-US" cap="none" sz="1400" b="0" i="0" u="none" baseline="0">
                    <a:latin typeface="Geneva"/>
                    <a:ea typeface="Geneva"/>
                    <a:cs typeface="Geneva"/>
                  </a:rPr>
                  <a:t>Question #</a:t>
                </a:r>
              </a:p>
            </c:rich>
          </c:tx>
          <c:layout/>
          <c:overlay val="0"/>
          <c:spPr>
            <a:noFill/>
            <a:ln>
              <a:noFill/>
            </a:ln>
          </c:spPr>
        </c:title>
        <c:delete val="0"/>
        <c:numFmt formatCode="General" sourceLinked="1"/>
        <c:majorTickMark val="out"/>
        <c:minorTickMark val="none"/>
        <c:tickLblPos val="nextTo"/>
        <c:crossAx val="57620993"/>
        <c:crosses val="autoZero"/>
        <c:auto val="1"/>
        <c:lblOffset val="100"/>
        <c:tickLblSkip val="3"/>
        <c:noMultiLvlLbl val="0"/>
      </c:catAx>
      <c:valAx>
        <c:axId val="57620993"/>
        <c:scaling>
          <c:orientation val="minMax"/>
          <c:max val="100"/>
        </c:scaling>
        <c:axPos val="l"/>
        <c:title>
          <c:tx>
            <c:rich>
              <a:bodyPr vert="horz" rot="-5400000" anchor="ctr"/>
              <a:lstStyle/>
              <a:p>
                <a:pPr algn="ctr">
                  <a:defRPr/>
                </a:pPr>
                <a:r>
                  <a:rPr lang="en-US" cap="none" sz="1400" b="1" i="0" u="none" baseline="0">
                    <a:latin typeface="Geneva"/>
                    <a:ea typeface="Geneva"/>
                    <a:cs typeface="Geneva"/>
                  </a:rPr>
                  <a:t>Percent Correct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6054656"/>
        <c:crossesAt val="1"/>
        <c:crossBetween val="between"/>
        <c:dispUnits/>
      </c:valAx>
      <c:spPr>
        <a:noFill/>
        <a:ln w="12700">
          <a:solidFill>
            <a:srgbClr val="808080"/>
          </a:solidFill>
        </a:ln>
      </c:spPr>
    </c:plotArea>
    <c:legend>
      <c:legendPos val="b"/>
      <c:layout>
        <c:manualLayout>
          <c:xMode val="edge"/>
          <c:yMode val="edge"/>
          <c:x val="0.39225"/>
          <c:y val="0.947"/>
        </c:manualLayout>
      </c:layout>
      <c:overlay val="0"/>
      <c:txPr>
        <a:bodyPr vert="horz" rot="0"/>
        <a:lstStyle/>
        <a:p>
          <a:pPr>
            <a:defRPr lang="en-US" cap="none" sz="1400" b="0" i="0" u="none" baseline="0">
              <a:latin typeface="Geneva"/>
              <a:ea typeface="Geneva"/>
              <a:cs typeface="Geneva"/>
            </a:defRPr>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Geneva"/>
                <a:ea typeface="Geneva"/>
                <a:cs typeface="Geneva"/>
              </a:rPr>
              <a:t>Multiple Choice Section, 2002 vs. 2007</a:t>
            </a:r>
            <a:r>
              <a:rPr lang="en-US" cap="none" sz="1400" b="0" i="0" u="none" baseline="0">
                <a:latin typeface="Geneva"/>
                <a:ea typeface="Geneva"/>
                <a:cs typeface="Geneva"/>
              </a:rPr>
              <a:t>
</a:t>
            </a:r>
            <a:r>
              <a:rPr lang="en-US" cap="none" sz="1300" b="1" i="0" u="none" baseline="0">
                <a:latin typeface="Geneva"/>
                <a:ea typeface="Geneva"/>
                <a:cs typeface="Geneva"/>
              </a:rPr>
              <a:t>Shows the % of questions #1-10 students answered correctly,
then the % of questions #11-20 answered correctly, etc.</a:t>
            </a:r>
          </a:p>
        </c:rich>
      </c:tx>
      <c:layout/>
      <c:spPr>
        <a:noFill/>
        <a:ln>
          <a:noFill/>
        </a:ln>
      </c:spPr>
    </c:title>
    <c:plotArea>
      <c:layout>
        <c:manualLayout>
          <c:xMode val="edge"/>
          <c:yMode val="edge"/>
          <c:x val="0.04825"/>
          <c:y val="0.25275"/>
          <c:w val="0.94825"/>
          <c:h val="0.63075"/>
        </c:manualLayout>
      </c:layout>
      <c:lineChart>
        <c:grouping val="standard"/>
        <c:varyColors val="0"/>
        <c:ser>
          <c:idx val="1"/>
          <c:order val="0"/>
          <c:tx>
            <c:strRef>
              <c:f>'2002 MC Section DATA'!$E$5</c:f>
              <c:strCache>
                <c:ptCount val="1"/>
                <c:pt idx="0">
                  <c:v>2002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val>
            <c:numRef>
              <c:f>'2002 MC Section DATA'!$E$7:$E$76</c:f>
              <c:numCache>
                <c:ptCount val="70"/>
                <c:pt idx="0">
                  <c:v>61.3</c:v>
                </c:pt>
                <c:pt idx="1">
                  <c:v>61.3</c:v>
                </c:pt>
                <c:pt idx="2">
                  <c:v>61.3</c:v>
                </c:pt>
                <c:pt idx="3">
                  <c:v>61.3</c:v>
                </c:pt>
                <c:pt idx="4">
                  <c:v>61.3</c:v>
                </c:pt>
                <c:pt idx="5">
                  <c:v>61.3</c:v>
                </c:pt>
                <c:pt idx="6">
                  <c:v>61.3</c:v>
                </c:pt>
                <c:pt idx="7">
                  <c:v>61.3</c:v>
                </c:pt>
                <c:pt idx="8">
                  <c:v>61.3</c:v>
                </c:pt>
                <c:pt idx="9">
                  <c:v>61.3</c:v>
                </c:pt>
                <c:pt idx="10">
                  <c:v>59.1</c:v>
                </c:pt>
                <c:pt idx="11">
                  <c:v>59.1</c:v>
                </c:pt>
                <c:pt idx="12">
                  <c:v>59.1</c:v>
                </c:pt>
                <c:pt idx="13">
                  <c:v>59.1</c:v>
                </c:pt>
                <c:pt idx="14">
                  <c:v>59.1</c:v>
                </c:pt>
                <c:pt idx="15">
                  <c:v>59.1</c:v>
                </c:pt>
                <c:pt idx="16">
                  <c:v>59.1</c:v>
                </c:pt>
                <c:pt idx="17">
                  <c:v>59.1</c:v>
                </c:pt>
                <c:pt idx="18">
                  <c:v>59.1</c:v>
                </c:pt>
                <c:pt idx="19">
                  <c:v>59.1</c:v>
                </c:pt>
                <c:pt idx="20">
                  <c:v>57.111111111111114</c:v>
                </c:pt>
                <c:pt idx="21">
                  <c:v>57.111111111111114</c:v>
                </c:pt>
                <c:pt idx="22">
                  <c:v>57.111111111111114</c:v>
                </c:pt>
                <c:pt idx="23">
                  <c:v>57.111111111111114</c:v>
                </c:pt>
                <c:pt idx="24">
                  <c:v>57.111111111111114</c:v>
                </c:pt>
                <c:pt idx="25">
                  <c:v>57.111111111111114</c:v>
                </c:pt>
                <c:pt idx="26">
                  <c:v>57.111111111111114</c:v>
                </c:pt>
                <c:pt idx="27">
                  <c:v>57.111111111111114</c:v>
                </c:pt>
                <c:pt idx="28">
                  <c:v>57.111111111111114</c:v>
                </c:pt>
                <c:pt idx="29">
                  <c:v>57.111111111111114</c:v>
                </c:pt>
                <c:pt idx="30">
                  <c:v>56.5</c:v>
                </c:pt>
                <c:pt idx="31">
                  <c:v>56.5</c:v>
                </c:pt>
                <c:pt idx="32">
                  <c:v>56.5</c:v>
                </c:pt>
                <c:pt idx="33">
                  <c:v>56.5</c:v>
                </c:pt>
                <c:pt idx="34">
                  <c:v>56.5</c:v>
                </c:pt>
                <c:pt idx="35">
                  <c:v>56.5</c:v>
                </c:pt>
                <c:pt idx="36">
                  <c:v>56.5</c:v>
                </c:pt>
                <c:pt idx="37">
                  <c:v>56.5</c:v>
                </c:pt>
                <c:pt idx="38">
                  <c:v>56.5</c:v>
                </c:pt>
                <c:pt idx="39">
                  <c:v>56.5</c:v>
                </c:pt>
                <c:pt idx="40">
                  <c:v>43</c:v>
                </c:pt>
                <c:pt idx="41">
                  <c:v>43</c:v>
                </c:pt>
                <c:pt idx="42">
                  <c:v>43</c:v>
                </c:pt>
                <c:pt idx="43">
                  <c:v>43</c:v>
                </c:pt>
                <c:pt idx="44">
                  <c:v>43</c:v>
                </c:pt>
                <c:pt idx="45">
                  <c:v>43</c:v>
                </c:pt>
                <c:pt idx="46">
                  <c:v>43</c:v>
                </c:pt>
                <c:pt idx="47">
                  <c:v>43</c:v>
                </c:pt>
                <c:pt idx="48">
                  <c:v>43</c:v>
                </c:pt>
                <c:pt idx="49">
                  <c:v>43</c:v>
                </c:pt>
                <c:pt idx="50">
                  <c:v>40.4</c:v>
                </c:pt>
                <c:pt idx="51">
                  <c:v>40.4</c:v>
                </c:pt>
                <c:pt idx="52">
                  <c:v>40.4</c:v>
                </c:pt>
                <c:pt idx="53">
                  <c:v>40.4</c:v>
                </c:pt>
                <c:pt idx="54">
                  <c:v>40.4</c:v>
                </c:pt>
                <c:pt idx="55">
                  <c:v>40.4</c:v>
                </c:pt>
                <c:pt idx="56">
                  <c:v>40.4</c:v>
                </c:pt>
                <c:pt idx="57">
                  <c:v>40.4</c:v>
                </c:pt>
                <c:pt idx="58">
                  <c:v>40.4</c:v>
                </c:pt>
                <c:pt idx="59">
                  <c:v>40.4</c:v>
                </c:pt>
                <c:pt idx="60">
                  <c:v>34.5</c:v>
                </c:pt>
                <c:pt idx="61">
                  <c:v>34.5</c:v>
                </c:pt>
                <c:pt idx="62">
                  <c:v>34.5</c:v>
                </c:pt>
                <c:pt idx="63">
                  <c:v>34.5</c:v>
                </c:pt>
                <c:pt idx="64">
                  <c:v>34.5</c:v>
                </c:pt>
                <c:pt idx="65">
                  <c:v>34.5</c:v>
                </c:pt>
                <c:pt idx="66">
                  <c:v>34.5</c:v>
                </c:pt>
                <c:pt idx="67">
                  <c:v>34.5</c:v>
                </c:pt>
                <c:pt idx="68">
                  <c:v>34.5</c:v>
                </c:pt>
                <c:pt idx="69">
                  <c:v>34.5</c:v>
                </c:pt>
              </c:numCache>
            </c:numRef>
          </c:val>
          <c:smooth val="0"/>
        </c:ser>
        <c:ser>
          <c:idx val="0"/>
          <c:order val="1"/>
          <c:tx>
            <c:strRef>
              <c:f>'2007 MC Section DATA'!$E$5</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'2007 MC Section DATA'!$E$7:$E$76</c:f>
              <c:numCache>
                <c:ptCount val="70"/>
                <c:pt idx="0">
                  <c:v>67.5</c:v>
                </c:pt>
                <c:pt idx="1">
                  <c:v>67.5</c:v>
                </c:pt>
                <c:pt idx="2">
                  <c:v>67.5</c:v>
                </c:pt>
                <c:pt idx="3">
                  <c:v>67.5</c:v>
                </c:pt>
                <c:pt idx="4">
                  <c:v>67.5</c:v>
                </c:pt>
                <c:pt idx="5">
                  <c:v>67.5</c:v>
                </c:pt>
                <c:pt idx="6">
                  <c:v>67.5</c:v>
                </c:pt>
                <c:pt idx="7">
                  <c:v>67.5</c:v>
                </c:pt>
                <c:pt idx="8">
                  <c:v>67.5</c:v>
                </c:pt>
                <c:pt idx="9">
                  <c:v>67.5</c:v>
                </c:pt>
                <c:pt idx="10">
                  <c:v>67.7</c:v>
                </c:pt>
                <c:pt idx="11">
                  <c:v>67.7</c:v>
                </c:pt>
                <c:pt idx="12">
                  <c:v>67.7</c:v>
                </c:pt>
                <c:pt idx="13">
                  <c:v>67.7</c:v>
                </c:pt>
                <c:pt idx="14">
                  <c:v>67.7</c:v>
                </c:pt>
                <c:pt idx="15">
                  <c:v>67.7</c:v>
                </c:pt>
                <c:pt idx="16">
                  <c:v>67.7</c:v>
                </c:pt>
                <c:pt idx="17">
                  <c:v>67.7</c:v>
                </c:pt>
                <c:pt idx="18">
                  <c:v>67.7</c:v>
                </c:pt>
                <c:pt idx="19">
                  <c:v>67.7</c:v>
                </c:pt>
                <c:pt idx="20">
                  <c:v>55.8</c:v>
                </c:pt>
                <c:pt idx="21">
                  <c:v>55.8</c:v>
                </c:pt>
                <c:pt idx="22">
                  <c:v>55.8</c:v>
                </c:pt>
                <c:pt idx="23">
                  <c:v>55.8</c:v>
                </c:pt>
                <c:pt idx="24">
                  <c:v>55.8</c:v>
                </c:pt>
                <c:pt idx="25">
                  <c:v>55.8</c:v>
                </c:pt>
                <c:pt idx="26">
                  <c:v>55.8</c:v>
                </c:pt>
                <c:pt idx="27">
                  <c:v>55.8</c:v>
                </c:pt>
                <c:pt idx="28">
                  <c:v>55.8</c:v>
                </c:pt>
                <c:pt idx="29">
                  <c:v>55.8</c:v>
                </c:pt>
                <c:pt idx="30">
                  <c:v>56.7</c:v>
                </c:pt>
                <c:pt idx="31">
                  <c:v>56.7</c:v>
                </c:pt>
                <c:pt idx="32">
                  <c:v>56.7</c:v>
                </c:pt>
                <c:pt idx="33">
                  <c:v>56.7</c:v>
                </c:pt>
                <c:pt idx="34">
                  <c:v>56.7</c:v>
                </c:pt>
                <c:pt idx="35">
                  <c:v>56.7</c:v>
                </c:pt>
                <c:pt idx="36">
                  <c:v>56.7</c:v>
                </c:pt>
                <c:pt idx="37">
                  <c:v>56.7</c:v>
                </c:pt>
                <c:pt idx="38">
                  <c:v>56.7</c:v>
                </c:pt>
                <c:pt idx="39">
                  <c:v>56.7</c:v>
                </c:pt>
                <c:pt idx="40">
                  <c:v>56.3</c:v>
                </c:pt>
                <c:pt idx="41">
                  <c:v>56.3</c:v>
                </c:pt>
                <c:pt idx="42">
                  <c:v>56.3</c:v>
                </c:pt>
                <c:pt idx="43">
                  <c:v>56.3</c:v>
                </c:pt>
                <c:pt idx="44">
                  <c:v>56.3</c:v>
                </c:pt>
                <c:pt idx="45">
                  <c:v>56.3</c:v>
                </c:pt>
                <c:pt idx="46">
                  <c:v>56.3</c:v>
                </c:pt>
                <c:pt idx="47">
                  <c:v>56.3</c:v>
                </c:pt>
                <c:pt idx="48">
                  <c:v>56.3</c:v>
                </c:pt>
                <c:pt idx="49">
                  <c:v>56.3</c:v>
                </c:pt>
                <c:pt idx="50">
                  <c:v>46.2</c:v>
                </c:pt>
                <c:pt idx="51">
                  <c:v>46.2</c:v>
                </c:pt>
                <c:pt idx="52">
                  <c:v>46.2</c:v>
                </c:pt>
                <c:pt idx="53">
                  <c:v>46.2</c:v>
                </c:pt>
                <c:pt idx="54">
                  <c:v>46.2</c:v>
                </c:pt>
                <c:pt idx="55">
                  <c:v>46.2</c:v>
                </c:pt>
                <c:pt idx="56">
                  <c:v>46.2</c:v>
                </c:pt>
                <c:pt idx="57">
                  <c:v>46.2</c:v>
                </c:pt>
                <c:pt idx="58">
                  <c:v>46.2</c:v>
                </c:pt>
                <c:pt idx="59">
                  <c:v>46.2</c:v>
                </c:pt>
                <c:pt idx="60">
                  <c:v>53.6</c:v>
                </c:pt>
                <c:pt idx="61">
                  <c:v>53.6</c:v>
                </c:pt>
                <c:pt idx="62">
                  <c:v>53.6</c:v>
                </c:pt>
                <c:pt idx="63">
                  <c:v>53.6</c:v>
                </c:pt>
                <c:pt idx="64">
                  <c:v>53.6</c:v>
                </c:pt>
                <c:pt idx="65">
                  <c:v>53.6</c:v>
                </c:pt>
                <c:pt idx="66">
                  <c:v>53.6</c:v>
                </c:pt>
                <c:pt idx="67">
                  <c:v>53.6</c:v>
                </c:pt>
                <c:pt idx="68">
                  <c:v>53.6</c:v>
                </c:pt>
                <c:pt idx="69">
                  <c:v>53.6</c:v>
                </c:pt>
              </c:numCache>
            </c:numRef>
          </c:val>
          <c:smooth val="0"/>
        </c:ser>
        <c:axId val="48826890"/>
        <c:axId val="36788827"/>
      </c:lineChart>
      <c:catAx>
        <c:axId val="48826890"/>
        <c:scaling>
          <c:orientation val="minMax"/>
        </c:scaling>
        <c:axPos val="b"/>
        <c:title>
          <c:tx>
            <c:rich>
              <a:bodyPr vert="horz" rot="0" anchor="ctr"/>
              <a:lstStyle/>
              <a:p>
                <a:pPr algn="ctr">
                  <a:defRPr/>
                </a:pPr>
                <a:r>
                  <a:rPr lang="en-US" cap="none" sz="1400" b="0" i="0" u="none" baseline="0">
                    <a:latin typeface="Geneva"/>
                    <a:ea typeface="Geneva"/>
                    <a:cs typeface="Geneva"/>
                  </a:rPr>
                  <a:t>Question #</a:t>
                </a:r>
              </a:p>
            </c:rich>
          </c:tx>
          <c:layout/>
          <c:overlay val="0"/>
          <c:spPr>
            <a:noFill/>
            <a:ln>
              <a:noFill/>
            </a:ln>
          </c:spPr>
        </c:title>
        <c:delete val="0"/>
        <c:numFmt formatCode="General" sourceLinked="1"/>
        <c:majorTickMark val="out"/>
        <c:minorTickMark val="none"/>
        <c:tickLblPos val="nextTo"/>
        <c:crossAx val="36788827"/>
        <c:crosses val="autoZero"/>
        <c:auto val="1"/>
        <c:lblOffset val="100"/>
        <c:tickLblSkip val="3"/>
        <c:noMultiLvlLbl val="0"/>
      </c:catAx>
      <c:valAx>
        <c:axId val="36788827"/>
        <c:scaling>
          <c:orientation val="minMax"/>
          <c:max val="100"/>
        </c:scaling>
        <c:axPos val="l"/>
        <c:title>
          <c:tx>
            <c:rich>
              <a:bodyPr vert="horz" rot="-5400000" anchor="ctr"/>
              <a:lstStyle/>
              <a:p>
                <a:pPr algn="ctr">
                  <a:defRPr/>
                </a:pPr>
                <a:r>
                  <a:rPr lang="en-US" cap="none" sz="1400" b="1" i="0" u="none" baseline="0">
                    <a:latin typeface="Geneva"/>
                    <a:ea typeface="Geneva"/>
                    <a:cs typeface="Geneva"/>
                  </a:rPr>
                  <a:t>Percent Correct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48826890"/>
        <c:crossesAt val="1"/>
        <c:crossBetween val="between"/>
        <c:dispUnits/>
      </c:valAx>
      <c:spPr>
        <a:noFill/>
        <a:ln w="12700">
          <a:solidFill>
            <a:srgbClr val="808080"/>
          </a:solidFill>
        </a:ln>
      </c:spPr>
    </c:plotArea>
    <c:legend>
      <c:legendPos val="t"/>
      <c:layout/>
      <c:overlay val="0"/>
      <c:txPr>
        <a:bodyPr vert="horz" rot="0"/>
        <a:lstStyle/>
        <a:p>
          <a:pPr>
            <a:defRPr lang="en-US" cap="none" sz="1400" b="0" i="0" u="none" baseline="0">
              <a:latin typeface="Geneva"/>
              <a:ea typeface="Geneva"/>
              <a:cs typeface="Geneva"/>
            </a:defRPr>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Should I Guess?
</a:t>
            </a:r>
            <a:r>
              <a:rPr lang="en-US" cap="none" sz="1600" b="0" i="0" u="none" baseline="0"/>
              <a:t> </a:t>
            </a:r>
            <a:r>
              <a:rPr lang="en-US" cap="none" sz="1600" b="1" i="0" u="none" baseline="0"/>
              <a:t>Bars Reflect 'Adjusted Score' Penalty
(-1/4 point) for Incorrect Answers</a:t>
            </a:r>
          </a:p>
        </c:rich>
      </c:tx>
      <c:layout>
        <c:manualLayout>
          <c:xMode val="factor"/>
          <c:yMode val="factor"/>
          <c:x val="0.022"/>
          <c:y val="-0.02075"/>
        </c:manualLayout>
      </c:layout>
      <c:spPr>
        <a:noFill/>
        <a:ln>
          <a:noFill/>
        </a:ln>
      </c:spPr>
    </c:title>
    <c:plotArea>
      <c:layout>
        <c:manualLayout>
          <c:xMode val="edge"/>
          <c:yMode val="edge"/>
          <c:x val="0.05525"/>
          <c:y val="0.17525"/>
          <c:w val="0.93075"/>
          <c:h val="0.754"/>
        </c:manualLayout>
      </c:layout>
      <c:barChart>
        <c:barDir val="col"/>
        <c:grouping val="clustered"/>
        <c:varyColors val="0"/>
        <c:ser>
          <c:idx val="0"/>
          <c:order val="0"/>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strRef>
              <c:f>'2002 Score Comb DATA'!$A$42:$A$48</c:f>
              <c:strCache>
                <c:ptCount val="7"/>
                <c:pt idx="0">
                  <c:v>All Correct Answers</c:v>
                </c:pt>
                <c:pt idx="1">
                  <c:v>1/2 Correct</c:v>
                </c:pt>
                <c:pt idx="2">
                  <c:v>1/3 Correct</c:v>
                </c:pt>
                <c:pt idx="3">
                  <c:v>1/4 Correct</c:v>
                </c:pt>
                <c:pt idx="4">
                  <c:v>1/5 Correct (Random Guessing)</c:v>
                </c:pt>
                <c:pt idx="5">
                  <c:v>Blank/No Answer</c:v>
                </c:pt>
                <c:pt idx="6">
                  <c:v>All Incorrect</c:v>
                </c:pt>
              </c:strCache>
            </c:strRef>
          </c:cat>
          <c:val>
            <c:numRef>
              <c:f>'2002 Score Comb DATA'!$B$42:$B$48</c:f>
              <c:numCache>
                <c:ptCount val="7"/>
                <c:pt idx="0">
                  <c:v>100</c:v>
                </c:pt>
                <c:pt idx="1">
                  <c:v>37.5</c:v>
                </c:pt>
                <c:pt idx="2">
                  <c:v>16.25</c:v>
                </c:pt>
                <c:pt idx="3">
                  <c:v>6.25</c:v>
                </c:pt>
                <c:pt idx="4">
                  <c:v>0</c:v>
                </c:pt>
                <c:pt idx="5">
                  <c:v>0</c:v>
                </c:pt>
                <c:pt idx="6">
                  <c:v>-25</c:v>
                </c:pt>
              </c:numCache>
            </c:numRef>
          </c:val>
        </c:ser>
        <c:gapWidth val="100"/>
        <c:axId val="62663988"/>
        <c:axId val="27104981"/>
      </c:barChart>
      <c:catAx>
        <c:axId val="62663988"/>
        <c:scaling>
          <c:orientation val="minMax"/>
        </c:scaling>
        <c:axPos val="b"/>
        <c:title>
          <c:tx>
            <c:rich>
              <a:bodyPr vert="horz" rot="0" anchor="ctr"/>
              <a:lstStyle/>
              <a:p>
                <a:pPr algn="ctr">
                  <a:defRPr/>
                </a:pPr>
                <a:r>
                  <a:rPr lang="en-US" cap="none" sz="1400" b="1" i="0" u="none" baseline="0"/>
                  <a:t>% Correct Answers</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pPr>
          </a:p>
        </c:txPr>
        <c:crossAx val="27104981"/>
        <c:crosses val="autoZero"/>
        <c:auto val="1"/>
        <c:lblOffset val="100"/>
        <c:noMultiLvlLbl val="0"/>
      </c:catAx>
      <c:valAx>
        <c:axId val="27104981"/>
        <c:scaling>
          <c:orientation val="minMax"/>
          <c:max val="120"/>
        </c:scaling>
        <c:axPos val="l"/>
        <c:title>
          <c:tx>
            <c:rich>
              <a:bodyPr vert="horz" rot="-5400000" anchor="ctr"/>
              <a:lstStyle/>
              <a:p>
                <a:pPr algn="ctr">
                  <a:defRPr/>
                </a:pPr>
                <a:r>
                  <a:rPr lang="en-US" cap="none" sz="1400" b="1" i="0" u="none" baseline="0"/>
                  <a:t>Effect on Score</a:t>
                </a:r>
              </a:p>
            </c:rich>
          </c:tx>
          <c:layout/>
          <c:overlay val="0"/>
          <c:spPr>
            <a:noFill/>
            <a:ln>
              <a:noFill/>
            </a:ln>
          </c:spPr>
        </c:title>
        <c:delete val="0"/>
        <c:numFmt formatCode="General" sourceLinked="1"/>
        <c:majorTickMark val="out"/>
        <c:minorTickMark val="none"/>
        <c:tickLblPos val="none"/>
        <c:crossAx val="62663988"/>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AP World History Essay Mean Scores</a:t>
            </a:r>
          </a:p>
        </c:rich>
      </c:tx>
      <c:layout>
        <c:manualLayout>
          <c:xMode val="factor"/>
          <c:yMode val="factor"/>
          <c:x val="0.0045"/>
          <c:y val="-0.01675"/>
        </c:manualLayout>
      </c:layout>
      <c:spPr>
        <a:noFill/>
        <a:ln>
          <a:noFill/>
        </a:ln>
      </c:spPr>
    </c:title>
    <c:plotArea>
      <c:layout>
        <c:manualLayout>
          <c:xMode val="edge"/>
          <c:yMode val="edge"/>
          <c:x val="0.0115"/>
          <c:y val="0.17875"/>
          <c:w val="0.9745"/>
          <c:h val="0.7995"/>
        </c:manualLayout>
      </c:layout>
      <c:barChart>
        <c:barDir val="col"/>
        <c:grouping val="stacked"/>
        <c:varyColors val="0"/>
        <c:ser>
          <c:idx val="0"/>
          <c:order val="0"/>
          <c:tx>
            <c:strRef>
              <c:f>'Essay Scores DATA'!$A$9</c:f>
              <c:strCache>
                <c:ptCount val="1"/>
                <c:pt idx="0">
                  <c:v>DBQ</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100" b="1" i="0" u="none" baseline="0"/>
                      <a:t>4.26
Christian/
Muslim
Trade
Attitudes</a:t>
                    </a:r>
                  </a:p>
                </c:rich>
              </c:tx>
              <c:numFmt formatCode="General" sourceLinked="1"/>
              <c:showLegendKey val="0"/>
              <c:showVal val="1"/>
              <c:showBubbleSize val="0"/>
              <c:showCatName val="1"/>
              <c:showSerName val="1"/>
              <c:showPercent val="0"/>
              <c:separator>
</c:separator>
            </c:dLbl>
            <c:dLbl>
              <c:idx val="1"/>
              <c:tx>
                <c:rich>
                  <a:bodyPr vert="horz" rot="0" anchor="ctr"/>
                  <a:lstStyle/>
                  <a:p>
                    <a:pPr algn="ctr">
                      <a:defRPr/>
                    </a:pPr>
                    <a:r>
                      <a:rPr lang="en-US" cap="none" sz="1100" b="1" i="0" u="none" baseline="0"/>
                      <a:t>4.03
Indentured
Servants
1750-1914</a:t>
                    </a:r>
                  </a:p>
                </c:rich>
              </c:tx>
              <c:numFmt formatCode="General" sourceLinked="1"/>
              <c:showLegendKey val="0"/>
              <c:showVal val="1"/>
              <c:showBubbleSize val="0"/>
              <c:showCatName val="1"/>
              <c:showSerName val="1"/>
              <c:showPercent val="0"/>
              <c:separator>
</c:separator>
            </c:dLbl>
            <c:dLbl>
              <c:idx val="2"/>
              <c:tx>
                <c:rich>
                  <a:bodyPr vert="horz" rot="0" anchor="ctr"/>
                  <a:lstStyle/>
                  <a:p>
                    <a:pPr algn="ctr">
                      <a:defRPr/>
                    </a:pPr>
                    <a:r>
                      <a:rPr lang="en-US" cap="none" sz="1100" b="1" i="0" u="none" baseline="0"/>
                      <a:t>4.32
Chinese
Responses
to Buddhism</a:t>
                    </a:r>
                  </a:p>
                </c:rich>
              </c:tx>
              <c:numFmt formatCode="General" sourceLinked="1"/>
              <c:showLegendKey val="0"/>
              <c:showVal val="1"/>
              <c:showBubbleSize val="0"/>
              <c:showCatName val="1"/>
              <c:showSerName val="1"/>
              <c:showPercent val="0"/>
              <c:separator>
</c:separator>
            </c:dLbl>
            <c:dLbl>
              <c:idx val="3"/>
              <c:tx>
                <c:rich>
                  <a:bodyPr vert="horz" rot="0" anchor="ctr"/>
                  <a:lstStyle/>
                  <a:p>
                    <a:pPr algn="ctr">
                      <a:defRPr/>
                    </a:pPr>
                    <a:r>
                      <a:rPr lang="en-US" cap="none" sz="1100" b="1" i="0" u="none" baseline="0"/>
                      <a:t>3.91
Muslim
Nationalism
Issues</a:t>
                    </a:r>
                  </a:p>
                </c:rich>
              </c:tx>
              <c:numFmt formatCode="General" sourceLinked="1"/>
              <c:showLegendKey val="0"/>
              <c:showVal val="1"/>
              <c:showBubbleSize val="0"/>
              <c:showCatName val="1"/>
              <c:showSerName val="1"/>
              <c:showPercent val="0"/>
              <c:separator>
</c:separator>
            </c:dLbl>
            <c:dLbl>
              <c:idx val="4"/>
              <c:tx>
                <c:rich>
                  <a:bodyPr vert="horz" rot="0" anchor="ctr"/>
                  <a:lstStyle/>
                  <a:p>
                    <a:pPr algn="ctr">
                      <a:defRPr/>
                    </a:pPr>
                    <a:r>
                      <a:rPr lang="en-US" cap="none" sz="1100" b="1" i="0" u="none" baseline="0"/>
                      <a:t>3.27
Global
Silver
Trade</a:t>
                    </a:r>
                  </a:p>
                </c:rich>
              </c:tx>
              <c:numFmt formatCode="General" sourceLinked="1"/>
              <c:showLegendKey val="0"/>
              <c:showVal val="1"/>
              <c:showBubbleSize val="0"/>
              <c:showCatName val="1"/>
              <c:showSerName val="1"/>
              <c:showPercent val="0"/>
              <c:separator>
</c:separator>
            </c:dLbl>
            <c:dLbl>
              <c:idx val="5"/>
              <c:tx>
                <c:rich>
                  <a:bodyPr vert="horz" rot="0" anchor="ctr"/>
                  <a:lstStyle/>
                  <a:p>
                    <a:pPr algn="ctr">
                      <a:defRPr/>
                    </a:pPr>
                    <a:r>
                      <a:rPr lang="en-US" cap="none" sz="1100" b="1" i="0" u="none" baseline="0"/>
                      <a:t>2.84
Rome &amp; Han
Tech
Attitudes</a:t>
                    </a:r>
                  </a:p>
                </c:rich>
              </c:tx>
              <c:numFmt formatCode="General" sourceLinked="1"/>
              <c:showLegendKey val="0"/>
              <c:showVal val="1"/>
              <c:showBubbleSize val="0"/>
              <c:showCatName val="1"/>
              <c:showSerName val="1"/>
              <c:showPercent val="0"/>
              <c:separator>
</c:separator>
            </c:dLbl>
            <c:dLbl>
              <c:idx val="6"/>
              <c:tx>
                <c:rich>
                  <a:bodyPr vert="horz" rot="0" anchor="ctr"/>
                  <a:lstStyle/>
                  <a:p>
                    <a:pPr algn="ctr">
                      <a:defRPr/>
                    </a:pPr>
                    <a:r>
                      <a:rPr lang="en-US" cap="none" sz="1100" b="1" i="0" u="none" baseline="0"/>
                      <a:t>2.03
Modern
Olympics</a:t>
                    </a:r>
                  </a:p>
                </c:rich>
              </c:tx>
              <c:numFmt formatCode="General" sourceLinked="1"/>
              <c:showLegendKey val="0"/>
              <c:showVal val="1"/>
              <c:showBubbleSize val="0"/>
              <c:showCatName val="1"/>
              <c:showSerName val="1"/>
              <c:showPercent val="0"/>
              <c:separator>
</c:separator>
            </c:dLbl>
            <c:numFmt formatCode="General" sourceLinked="1"/>
            <c:txPr>
              <a:bodyPr vert="horz" rot="0" anchor="ctr"/>
              <a:lstStyle/>
              <a:p>
                <a:pPr algn="ctr">
                  <a:defRPr lang="en-US" cap="none" sz="1100" b="1" i="0" u="none" baseline="0"/>
                </a:pPr>
              </a:p>
            </c:txPr>
            <c:showLegendKey val="0"/>
            <c:showVal val="1"/>
            <c:showBubbleSize val="0"/>
            <c:showCatName val="1"/>
            <c:showSerName val="1"/>
            <c:showPercent val="0"/>
            <c:separator>
</c:separator>
          </c:dLbls>
          <c:cat>
            <c:strRef>
              <c:f>'Essay Scores DATA'!$B$8:$I$8</c:f>
              <c:strCache>
                <c:ptCount val="8"/>
                <c:pt idx="0">
                  <c:v>2002</c:v>
                </c:pt>
                <c:pt idx="1">
                  <c:v>2003</c:v>
                </c:pt>
                <c:pt idx="2">
                  <c:v>2004</c:v>
                </c:pt>
                <c:pt idx="3">
                  <c:v>2005</c:v>
                </c:pt>
                <c:pt idx="4">
                  <c:v>2006</c:v>
                </c:pt>
                <c:pt idx="5">
                  <c:v>2007</c:v>
                </c:pt>
                <c:pt idx="6">
                  <c:v>2008</c:v>
                </c:pt>
                <c:pt idx="7">
                  <c:v>Average</c:v>
                </c:pt>
              </c:strCache>
            </c:strRef>
          </c:cat>
          <c:val>
            <c:numRef>
              <c:f>'Essay Scores DATA'!$B$9:$I$9</c:f>
              <c:numCache>
                <c:ptCount val="8"/>
                <c:pt idx="0">
                  <c:v>4.26</c:v>
                </c:pt>
                <c:pt idx="1">
                  <c:v>4.03</c:v>
                </c:pt>
                <c:pt idx="2">
                  <c:v>4.32</c:v>
                </c:pt>
                <c:pt idx="3">
                  <c:v>3.91</c:v>
                </c:pt>
                <c:pt idx="4">
                  <c:v>3.27</c:v>
                </c:pt>
                <c:pt idx="5">
                  <c:v>2.84</c:v>
                </c:pt>
                <c:pt idx="6">
                  <c:v>2.03</c:v>
                </c:pt>
                <c:pt idx="7">
                  <c:v>3.5228571428571427</c:v>
                </c:pt>
              </c:numCache>
            </c:numRef>
          </c:val>
        </c:ser>
        <c:ser>
          <c:idx val="1"/>
          <c:order val="1"/>
          <c:tx>
            <c:strRef>
              <c:f>'Essay Scores DATA'!$A$10</c:f>
              <c:strCache>
                <c:ptCount val="1"/>
                <c:pt idx="0">
                  <c:v>CCOT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lstStyle/>
                  <a:p>
                    <a:pPr algn="ctr">
                      <a:defRPr/>
                    </a:pPr>
                    <a:r>
                      <a:rPr lang="en-US" cap="none" sz="1100" b="1" i="0" u="none" baseline="0"/>
                      <a:t>3.32
Global Trade
1750-
present</a:t>
                    </a:r>
                  </a:p>
                </c:rich>
              </c:tx>
              <c:numFmt formatCode="General" sourceLinked="1"/>
              <c:dLblPos val="ctr"/>
              <c:showLegendKey val="0"/>
              <c:showVal val="1"/>
              <c:showBubbleSize val="0"/>
              <c:showCatName val="1"/>
              <c:showSerName val="1"/>
              <c:showPercent val="0"/>
              <c:separator>
</c:separator>
            </c:dLbl>
            <c:dLbl>
              <c:idx val="1"/>
              <c:tx>
                <c:rich>
                  <a:bodyPr vert="horz" rot="0"/>
                  <a:lstStyle/>
                  <a:p>
                    <a:pPr algn="ctr">
                      <a:defRPr/>
                    </a:pPr>
                    <a:r>
                      <a:rPr lang="en-US" cap="none" sz="1100" b="1" i="0" u="none" baseline="0"/>
                      <a:t>3.08
Impact of
Islam
1000-1750</a:t>
                    </a:r>
                  </a:p>
                </c:rich>
              </c:tx>
              <c:numFmt formatCode="General" sourceLinked="1"/>
              <c:dLblPos val="ctr"/>
              <c:showLegendKey val="0"/>
              <c:showVal val="1"/>
              <c:showBubbleSize val="0"/>
              <c:showCatName val="1"/>
              <c:showSerName val="1"/>
              <c:showPercent val="0"/>
              <c:separator>
</c:separator>
            </c:dLbl>
            <c:dLbl>
              <c:idx val="2"/>
              <c:tx>
                <c:rich>
                  <a:bodyPr vert="horz" rot="0"/>
                  <a:lstStyle/>
                  <a:p>
                    <a:pPr algn="ctr">
                      <a:defRPr/>
                    </a:pPr>
                    <a:r>
                      <a:rPr lang="en-US" cap="none" sz="1100" b="1" i="0" u="none" baseline="0"/>
                      <a:t>2.46
Labor
Systems
1750-1914</a:t>
                    </a:r>
                  </a:p>
                </c:rich>
              </c:tx>
              <c:numFmt formatCode="General" sourceLinked="1"/>
              <c:dLblPos val="ctr"/>
              <c:showLegendKey val="0"/>
              <c:showVal val="1"/>
              <c:showBubbleSize val="0"/>
              <c:showCatName val="1"/>
              <c:showSerName val="1"/>
              <c:showPercent val="0"/>
              <c:separator>
</c:separator>
            </c:dLbl>
            <c:dLbl>
              <c:idx val="3"/>
              <c:layout>
                <c:manualLayout>
                  <c:x val="0"/>
                  <c:y val="0"/>
                </c:manualLayout>
              </c:layout>
              <c:tx>
                <c:rich>
                  <a:bodyPr vert="horz" rot="0"/>
                  <a:lstStyle/>
                  <a:p>
                    <a:pPr algn="ctr">
                      <a:defRPr/>
                    </a:pPr>
                    <a:r>
                      <a:rPr lang="en-US" cap="none" sz="1100" b="1" i="0" u="none" baseline="0"/>
                      <a:t>3.40
Atlantic
World
1492-1750</a:t>
                    </a:r>
                  </a:p>
                </c:rich>
              </c:tx>
              <c:numFmt formatCode="General" sourceLinked="1"/>
              <c:showLegendKey val="0"/>
              <c:showVal val="1"/>
              <c:showBubbleSize val="0"/>
              <c:showCatName val="1"/>
              <c:showSerName val="1"/>
              <c:showPercent val="0"/>
              <c:separator>
</c:separator>
            </c:dLbl>
            <c:dLbl>
              <c:idx val="4"/>
              <c:tx>
                <c:rich>
                  <a:bodyPr vert="horz" rot="0"/>
                  <a:lstStyle/>
                  <a:p>
                    <a:pPr algn="ctr">
                      <a:defRPr/>
                    </a:pPr>
                    <a:r>
                      <a:rPr lang="en-US" cap="none" sz="1100" b="1" i="0" u="none" baseline="0"/>
                      <a:t>3.02
Late
Classical
Empires</a:t>
                    </a:r>
                  </a:p>
                </c:rich>
              </c:tx>
              <c:numFmt formatCode="General" sourceLinked="1"/>
              <c:dLblPos val="ctr"/>
              <c:showLegendKey val="0"/>
              <c:showVal val="1"/>
              <c:showBubbleSize val="0"/>
              <c:showCatName val="1"/>
              <c:showSerName val="1"/>
              <c:showPercent val="0"/>
              <c:separator>
</c:separator>
            </c:dLbl>
            <c:dLbl>
              <c:idx val="5"/>
              <c:tx>
                <c:rich>
                  <a:bodyPr vert="horz" rot="0"/>
                  <a:lstStyle/>
                  <a:p>
                    <a:pPr algn="ctr">
                      <a:defRPr/>
                    </a:pPr>
                    <a:r>
                      <a:rPr lang="en-US" cap="none" sz="1050" b="1" i="0" u="none" baseline="0"/>
                      <a:t>1.45
20</a:t>
                    </a:r>
                    <a:r>
                      <a:rPr lang="en-US" cap="none" sz="1050" b="1" i="0" u="none" baseline="30000"/>
                      <a:t>th</a:t>
                    </a:r>
                    <a:r>
                      <a:rPr lang="en-US" cap="none" sz="1050" b="1" i="0" u="none" baseline="0"/>
                      <a:t> C Nat'l
Identities</a:t>
                    </a:r>
                  </a:p>
                </c:rich>
              </c:tx>
              <c:numFmt formatCode="General" sourceLinked="1"/>
              <c:dLblPos val="ctr"/>
              <c:showLegendKey val="0"/>
              <c:showVal val="1"/>
              <c:showBubbleSize val="0"/>
              <c:showCatName val="1"/>
              <c:showSerName val="1"/>
              <c:showPercent val="0"/>
              <c:separator>
</c:separator>
            </c:dLbl>
            <c:dLbl>
              <c:idx val="6"/>
              <c:tx>
                <c:rich>
                  <a:bodyPr vert="horz" rot="0"/>
                  <a:lstStyle/>
                  <a:p>
                    <a:pPr algn="ctr">
                      <a:defRPr/>
                    </a:pPr>
                    <a:r>
                      <a:rPr lang="en-US" cap="none" sz="1100" b="1" i="0" u="none" baseline="0"/>
                      <a:t>2.60
Indian
Ocean
Commerce</a:t>
                    </a:r>
                  </a:p>
                </c:rich>
              </c:tx>
              <c:numFmt formatCode="General" sourceLinked="1"/>
              <c:dLblPos val="ctr"/>
              <c:showLegendKey val="0"/>
              <c:showVal val="1"/>
              <c:showBubbleSize val="0"/>
              <c:showCatName val="1"/>
              <c:showSerName val="1"/>
              <c:showPercent val="0"/>
              <c:separator>
</c:separator>
            </c:dLbl>
            <c:numFmt formatCode="General" sourceLinked="1"/>
            <c:txPr>
              <a:bodyPr vert="horz" rot="0"/>
              <a:lstStyle/>
              <a:p>
                <a:pPr algn="ctr">
                  <a:defRPr lang="en-US" cap="none" sz="1100" b="1" i="0" u="none" baseline="0"/>
                </a:pPr>
              </a:p>
            </c:txPr>
            <c:dLblPos val="ctr"/>
            <c:showLegendKey val="0"/>
            <c:showVal val="1"/>
            <c:showBubbleSize val="0"/>
            <c:showCatName val="1"/>
            <c:showSerName val="1"/>
            <c:showPercent val="0"/>
            <c:separator>
</c:separator>
          </c:dLbls>
          <c:cat>
            <c:strRef>
              <c:f>'Essay Scores DATA'!$B$8:$I$8</c:f>
              <c:strCache>
                <c:ptCount val="8"/>
                <c:pt idx="0">
                  <c:v>2002</c:v>
                </c:pt>
                <c:pt idx="1">
                  <c:v>2003</c:v>
                </c:pt>
                <c:pt idx="2">
                  <c:v>2004</c:v>
                </c:pt>
                <c:pt idx="3">
                  <c:v>2005</c:v>
                </c:pt>
                <c:pt idx="4">
                  <c:v>2006</c:v>
                </c:pt>
                <c:pt idx="5">
                  <c:v>2007</c:v>
                </c:pt>
                <c:pt idx="6">
                  <c:v>2008</c:v>
                </c:pt>
                <c:pt idx="7">
                  <c:v>Average</c:v>
                </c:pt>
              </c:strCache>
            </c:strRef>
          </c:cat>
          <c:val>
            <c:numRef>
              <c:f>'Essay Scores DATA'!$B$10:$I$10</c:f>
              <c:numCache>
                <c:ptCount val="8"/>
                <c:pt idx="0">
                  <c:v>3.32</c:v>
                </c:pt>
                <c:pt idx="1">
                  <c:v>3.08</c:v>
                </c:pt>
                <c:pt idx="2">
                  <c:v>2.46</c:v>
                </c:pt>
                <c:pt idx="3">
                  <c:v>3.4</c:v>
                </c:pt>
                <c:pt idx="4">
                  <c:v>3.02</c:v>
                </c:pt>
                <c:pt idx="5">
                  <c:v>1.45</c:v>
                </c:pt>
                <c:pt idx="6">
                  <c:v>2.6</c:v>
                </c:pt>
                <c:pt idx="7">
                  <c:v>2.7614285714285716</c:v>
                </c:pt>
              </c:numCache>
            </c:numRef>
          </c:val>
        </c:ser>
        <c:ser>
          <c:idx val="2"/>
          <c:order val="2"/>
          <c:tx>
            <c:strRef>
              <c:f>'Essay Scores DATA'!$A$11</c:f>
              <c:strCache>
                <c:ptCount val="1"/>
                <c:pt idx="0">
                  <c:v>Comparative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100" b="1" i="0" u="none" baseline="0"/>
                      <a:t>3.14
China &amp;
Japan
Responses</a:t>
                    </a:r>
                  </a:p>
                </c:rich>
              </c:tx>
              <c:numFmt formatCode="General" sourceLinked="1"/>
              <c:showLegendKey val="0"/>
              <c:showVal val="1"/>
              <c:showBubbleSize val="0"/>
              <c:showCatName val="1"/>
              <c:showSerName val="1"/>
              <c:showPercent val="0"/>
              <c:separator>
</c:separator>
            </c:dLbl>
            <c:dLbl>
              <c:idx val="1"/>
              <c:tx>
                <c:rich>
                  <a:bodyPr vert="horz" rot="0" anchor="ctr"/>
                  <a:lstStyle/>
                  <a:p>
                    <a:pPr algn="ctr">
                      <a:defRPr/>
                    </a:pPr>
                    <a:r>
                      <a:rPr lang="en-US" cap="none" sz="1100" b="1" i="0" u="none" baseline="0"/>
                      <a:t>4.05
Role of
Women
1750-1914</a:t>
                    </a:r>
                  </a:p>
                </c:rich>
              </c:tx>
              <c:numFmt formatCode="General" sourceLinked="1"/>
              <c:showLegendKey val="0"/>
              <c:showVal val="1"/>
              <c:showBubbleSize val="0"/>
              <c:showCatName val="1"/>
              <c:showSerName val="1"/>
              <c:showPercent val="0"/>
              <c:separator>
</c:separator>
            </c:dLbl>
            <c:dLbl>
              <c:idx val="2"/>
              <c:tx>
                <c:rich>
                  <a:bodyPr vert="horz" rot="0" anchor="ctr"/>
                  <a:lstStyle/>
                  <a:p>
                    <a:pPr algn="ctr">
                      <a:defRPr/>
                    </a:pPr>
                    <a:r>
                      <a:rPr lang="en-US" cap="none" sz="1100" b="1" i="0" u="none" baseline="0"/>
                      <a:t>2.03
WWI outside
Europe</a:t>
                    </a:r>
                  </a:p>
                </c:rich>
              </c:tx>
              <c:numFmt formatCode="General" sourceLinked="1"/>
              <c:showLegendKey val="0"/>
              <c:showVal val="1"/>
              <c:showBubbleSize val="0"/>
              <c:showCatName val="1"/>
              <c:showSerName val="1"/>
              <c:showPercent val="0"/>
              <c:separator>
</c:separator>
            </c:dLbl>
            <c:dLbl>
              <c:idx val="3"/>
              <c:tx>
                <c:rich>
                  <a:bodyPr vert="horz" rot="0" anchor="ctr"/>
                  <a:lstStyle/>
                  <a:p>
                    <a:pPr algn="ctr">
                      <a:defRPr/>
                    </a:pPr>
                    <a:r>
                      <a:rPr lang="en-US" cap="none" sz="1100" b="1" i="0" u="none" baseline="0"/>
                      <a:t>2.56
Effects
of Mongols</a:t>
                    </a:r>
                  </a:p>
                </c:rich>
              </c:tx>
              <c:numFmt formatCode="General" sourceLinked="1"/>
              <c:showLegendKey val="0"/>
              <c:showVal val="1"/>
              <c:showBubbleSize val="0"/>
              <c:showCatName val="1"/>
              <c:showSerName val="1"/>
              <c:showPercent val="0"/>
              <c:separator>
</c:separator>
            </c:dLbl>
            <c:dLbl>
              <c:idx val="4"/>
              <c:tx>
                <c:rich>
                  <a:bodyPr vert="horz" rot="0" anchor="ctr"/>
                  <a:lstStyle/>
                  <a:p>
                    <a:pPr algn="ctr">
                      <a:defRPr/>
                    </a:pPr>
                    <a:r>
                      <a:rPr lang="en-US" cap="none" sz="1100" b="1" i="0" u="none" baseline="0"/>
                      <a:t>2.60
20</a:t>
                    </a:r>
                    <a:r>
                      <a:rPr lang="en-US" cap="none" sz="1100" b="1" i="0" u="none" baseline="30000"/>
                      <a:t>th</a:t>
                    </a:r>
                    <a:r>
                      <a:rPr lang="en-US" cap="none" sz="1100" b="1" i="0" u="none" baseline="0"/>
                      <a:t> Century
Revolutions</a:t>
                    </a:r>
                  </a:p>
                </c:rich>
              </c:tx>
              <c:numFmt formatCode="General" sourceLinked="1"/>
              <c:showLegendKey val="0"/>
              <c:showVal val="1"/>
              <c:showBubbleSize val="0"/>
              <c:showCatName val="1"/>
              <c:showSerName val="1"/>
              <c:showPercent val="0"/>
              <c:separator>
</c:separator>
            </c:dLbl>
            <c:dLbl>
              <c:idx val="5"/>
              <c:tx>
                <c:rich>
                  <a:bodyPr vert="horz" rot="0" anchor="ctr"/>
                  <a:lstStyle/>
                  <a:p>
                    <a:pPr algn="ctr">
                      <a:defRPr/>
                    </a:pPr>
                    <a:r>
                      <a:rPr lang="en-US" cap="none" sz="1100" b="1" i="0" u="none" baseline="0"/>
                      <a:t>2.99
Spain vs.
Otto/Russ
Empire Bldg
Process</a:t>
                    </a:r>
                  </a:p>
                </c:rich>
              </c:tx>
              <c:numFmt formatCode="General" sourceLinked="1"/>
              <c:showLegendKey val="0"/>
              <c:showVal val="1"/>
              <c:showBubbleSize val="0"/>
              <c:showCatName val="1"/>
              <c:showSerName val="1"/>
              <c:showPercent val="0"/>
              <c:separator>
</c:separator>
            </c:dLbl>
            <c:dLbl>
              <c:idx val="6"/>
              <c:tx>
                <c:rich>
                  <a:bodyPr vert="horz" rot="0" anchor="ctr"/>
                  <a:lstStyle/>
                  <a:p>
                    <a:pPr algn="ctr">
                      <a:defRPr/>
                    </a:pPr>
                    <a:r>
                      <a:rPr lang="en-US" cap="none" sz="900" b="1" i="0" u="none" baseline="0"/>
                      <a:t>1.20
Emerg. of
Nation States</a:t>
                    </a:r>
                  </a:p>
                </c:rich>
              </c:tx>
              <c:numFmt formatCode="General" sourceLinked="1"/>
              <c:showLegendKey val="0"/>
              <c:showVal val="1"/>
              <c:showBubbleSize val="0"/>
              <c:showCatName val="1"/>
              <c:showSerName val="1"/>
              <c:showPercent val="0"/>
              <c:separator>
</c:separator>
            </c:dLbl>
            <c:numFmt formatCode="General" sourceLinked="1"/>
            <c:txPr>
              <a:bodyPr vert="horz" rot="0" anchor="ctr"/>
              <a:lstStyle/>
              <a:p>
                <a:pPr algn="ctr">
                  <a:defRPr lang="en-US" cap="none" sz="1100" b="1" i="0" u="none" baseline="0"/>
                </a:pPr>
              </a:p>
            </c:txPr>
            <c:showLegendKey val="0"/>
            <c:showVal val="1"/>
            <c:showBubbleSize val="0"/>
            <c:showCatName val="1"/>
            <c:showSerName val="1"/>
            <c:showPercent val="0"/>
            <c:separator>
</c:separator>
          </c:dLbls>
          <c:cat>
            <c:strRef>
              <c:f>'Essay Scores DATA'!$B$8:$I$8</c:f>
              <c:strCache>
                <c:ptCount val="8"/>
                <c:pt idx="0">
                  <c:v>2002</c:v>
                </c:pt>
                <c:pt idx="1">
                  <c:v>2003</c:v>
                </c:pt>
                <c:pt idx="2">
                  <c:v>2004</c:v>
                </c:pt>
                <c:pt idx="3">
                  <c:v>2005</c:v>
                </c:pt>
                <c:pt idx="4">
                  <c:v>2006</c:v>
                </c:pt>
                <c:pt idx="5">
                  <c:v>2007</c:v>
                </c:pt>
                <c:pt idx="6">
                  <c:v>2008</c:v>
                </c:pt>
                <c:pt idx="7">
                  <c:v>Average</c:v>
                </c:pt>
              </c:strCache>
            </c:strRef>
          </c:cat>
          <c:val>
            <c:numRef>
              <c:f>'Essay Scores DATA'!$B$11:$I$11</c:f>
              <c:numCache>
                <c:ptCount val="8"/>
                <c:pt idx="0">
                  <c:v>3.14</c:v>
                </c:pt>
                <c:pt idx="1">
                  <c:v>4.05</c:v>
                </c:pt>
                <c:pt idx="2">
                  <c:v>2.03</c:v>
                </c:pt>
                <c:pt idx="3">
                  <c:v>2.56</c:v>
                </c:pt>
                <c:pt idx="4">
                  <c:v>2.6</c:v>
                </c:pt>
                <c:pt idx="5">
                  <c:v>2.99</c:v>
                </c:pt>
                <c:pt idx="6">
                  <c:v>1.2</c:v>
                </c:pt>
                <c:pt idx="7">
                  <c:v>2.6528571428571426</c:v>
                </c:pt>
              </c:numCache>
            </c:numRef>
          </c:val>
        </c:ser>
        <c:overlap val="100"/>
        <c:gapWidth val="15"/>
        <c:axId val="42618238"/>
        <c:axId val="48019823"/>
      </c:barChart>
      <c:catAx>
        <c:axId val="42618238"/>
        <c:scaling>
          <c:orientation val="minMax"/>
        </c:scaling>
        <c:axPos val="b"/>
        <c:delete val="0"/>
        <c:numFmt formatCode="General" sourceLinked="1"/>
        <c:majorTickMark val="out"/>
        <c:minorTickMark val="none"/>
        <c:tickLblPos val="nextTo"/>
        <c:txPr>
          <a:bodyPr/>
          <a:lstStyle/>
          <a:p>
            <a:pPr>
              <a:defRPr lang="en-US" cap="none" sz="1600" b="1" i="0" u="none" baseline="0"/>
            </a:pPr>
          </a:p>
        </c:txPr>
        <c:crossAx val="48019823"/>
        <c:crosses val="autoZero"/>
        <c:auto val="1"/>
        <c:lblOffset val="100"/>
        <c:noMultiLvlLbl val="0"/>
      </c:catAx>
      <c:valAx>
        <c:axId val="48019823"/>
        <c:scaling>
          <c:orientation val="minMax"/>
        </c:scaling>
        <c:axPos val="l"/>
        <c:majorGridlines>
          <c:spPr>
            <a:ln w="3175">
              <a:solidFill/>
              <a:prstDash val="sysDot"/>
            </a:ln>
          </c:spPr>
        </c:majorGridlines>
        <c:minorGridlines>
          <c:spPr>
            <a:ln w="3175">
              <a:solidFill/>
              <a:prstDash val="sysDot"/>
            </a:ln>
          </c:spPr>
        </c:minorGridlines>
        <c:delete val="0"/>
        <c:numFmt formatCode="0" sourceLinked="0"/>
        <c:majorTickMark val="out"/>
        <c:minorTickMark val="none"/>
        <c:tickLblPos val="nextTo"/>
        <c:txPr>
          <a:bodyPr/>
          <a:lstStyle/>
          <a:p>
            <a:pPr>
              <a:defRPr lang="en-US" cap="none" sz="1000" b="1" i="0" u="none" baseline="0">
                <a:latin typeface="Geneva"/>
                <a:ea typeface="Geneva"/>
                <a:cs typeface="Geneva"/>
              </a:defRPr>
            </a:pPr>
          </a:p>
        </c:txPr>
        <c:crossAx val="42618238"/>
        <c:crossesAt val="1"/>
        <c:crossBetween val="between"/>
        <c:dispUnits/>
        <c:majorUnit val="2"/>
        <c:minorUnit val="1"/>
      </c:valAx>
      <c:spPr>
        <a:noFill/>
        <a:ln w="12700">
          <a:solidFill>
            <a:srgbClr val="808080"/>
          </a:solidFill>
        </a:ln>
      </c:spPr>
    </c:plotArea>
    <c:legend>
      <c:legendPos val="t"/>
      <c:layout>
        <c:manualLayout>
          <c:xMode val="edge"/>
          <c:yMode val="edge"/>
          <c:x val="0.27275"/>
          <c:y val="0.10575"/>
          <c:w val="0.4665"/>
          <c:h val="0.06625"/>
        </c:manualLayout>
      </c:layout>
      <c:overlay val="0"/>
      <c:txPr>
        <a:bodyPr vert="horz" rot="0"/>
        <a:lstStyle/>
        <a:p>
          <a:pPr>
            <a:defRPr lang="en-US" cap="none" sz="1600" b="1" i="0" u="none" baseline="0"/>
          </a:pPr>
        </a:p>
      </c:txPr>
    </c:legend>
    <c:plotVisOnly val="1"/>
    <c:dispBlanksAs val="gap"/>
    <c:showDLblsOverMax val="0"/>
  </c:chart>
  <c:spPr>
    <a:noFill/>
    <a:ln>
      <a:noFill/>
    </a:ln>
  </c:spPr>
  <c:txPr>
    <a:bodyPr vert="horz" rot="0"/>
    <a:lstStyle/>
    <a:p>
      <a:pPr>
        <a:defRPr lang="en-US" cap="none" sz="900" b="0" i="0" u="none" baseline="0">
          <a:latin typeface="Geneva"/>
          <a:ea typeface="Geneva"/>
          <a:cs typeface="Geneva"/>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2002 AP World History Essay Scores Distribution</a:t>
            </a:r>
          </a:p>
        </c:rich>
      </c:tx>
      <c:layout/>
      <c:spPr>
        <a:noFill/>
        <a:ln>
          <a:noFill/>
        </a:ln>
      </c:spPr>
    </c:title>
    <c:plotArea>
      <c:layout>
        <c:manualLayout>
          <c:xMode val="edge"/>
          <c:yMode val="edge"/>
          <c:x val="0.028"/>
          <c:y val="0.08225"/>
          <c:w val="0.97025"/>
          <c:h val="0.901"/>
        </c:manualLayout>
      </c:layout>
      <c:barChart>
        <c:barDir val="col"/>
        <c:grouping val="percentStacked"/>
        <c:varyColors val="0"/>
        <c:ser>
          <c:idx val="10"/>
          <c:order val="0"/>
          <c:tx>
            <c:strRef>
              <c:f>'Essay Scores DATA'!$A$28</c:f>
              <c:strCache>
                <c:ptCount val="1"/>
                <c:pt idx="0">
                  <c:v>No Response</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
                <c:rich>
                  <a:bodyPr vert="horz" rot="0" anchor="ctr"/>
                  <a:lstStyle/>
                  <a:p>
                    <a:pPr algn="ctr">
                      <a:defRPr/>
                    </a:pPr>
                    <a:r>
                      <a:rPr lang="en-US" cap="none" sz="1000" b="1" i="0" u="none" baseline="0"/>
                      <a:t>No Response 3.5%</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1" i="0" u="none" baseline="0"/>
                      <a:t>No Response
5.7%</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DATA'!$B$28:$D$28</c:f>
              <c:numCache>
                <c:ptCount val="3"/>
                <c:pt idx="0">
                  <c:v>0.007</c:v>
                </c:pt>
                <c:pt idx="1">
                  <c:v>0.035</c:v>
                </c:pt>
                <c:pt idx="2">
                  <c:v>0.057</c:v>
                </c:pt>
              </c:numCache>
            </c:numRef>
          </c:val>
        </c:ser>
        <c:ser>
          <c:idx val="9"/>
          <c:order val="1"/>
          <c:tx>
            <c:strRef>
              <c:f>'Essay Scores DATA'!$A$27</c:f>
              <c:strCache>
                <c:ptCount val="1"/>
                <c:pt idx="0">
                  <c:v>0</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0 - 3.2%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0
8.4%</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0
8.1%</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DATA'!$B$27:$D$27</c:f>
              <c:numCache>
                <c:ptCount val="3"/>
                <c:pt idx="0">
                  <c:v>0.032</c:v>
                </c:pt>
                <c:pt idx="1">
                  <c:v>0.084</c:v>
                </c:pt>
                <c:pt idx="2">
                  <c:v>0.081</c:v>
                </c:pt>
              </c:numCache>
            </c:numRef>
          </c:val>
        </c:ser>
        <c:ser>
          <c:idx val="8"/>
          <c:order val="2"/>
          <c:tx>
            <c:strRef>
              <c:f>'Essay Scores DATA'!$A$26</c:f>
              <c:strCache>
                <c:ptCount val="1"/>
                <c:pt idx="0">
                  <c:v>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1
6.2%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1
15.4%</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1
13.8%</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DATA'!$B$26:$D$26</c:f>
              <c:numCache>
                <c:ptCount val="3"/>
                <c:pt idx="0">
                  <c:v>0.062</c:v>
                </c:pt>
                <c:pt idx="1">
                  <c:v>0.154</c:v>
                </c:pt>
                <c:pt idx="2">
                  <c:v>0.138</c:v>
                </c:pt>
              </c:numCache>
            </c:numRef>
          </c:val>
        </c:ser>
        <c:ser>
          <c:idx val="7"/>
          <c:order val="3"/>
          <c:tx>
            <c:strRef>
              <c:f>'Essay Scores DATA'!$A$25</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2
9.8%</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2
15.7%</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2
15.1%</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DATA'!$B$25:$D$25</c:f>
              <c:numCache>
                <c:ptCount val="3"/>
                <c:pt idx="0">
                  <c:v>0.098</c:v>
                </c:pt>
                <c:pt idx="1">
                  <c:v>0.157</c:v>
                </c:pt>
                <c:pt idx="2">
                  <c:v>0.151</c:v>
                </c:pt>
              </c:numCache>
            </c:numRef>
          </c:val>
        </c:ser>
        <c:ser>
          <c:idx val="6"/>
          <c:order val="4"/>
          <c:tx>
            <c:strRef>
              <c:f>'Essay Scores DATA'!$A$24</c:f>
              <c:strCache>
                <c:ptCount val="1"/>
                <c:pt idx="0">
                  <c:v>3</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3
15.0%</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3
14.1%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3
18.7%</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DATA'!$B$24:$D$24</c:f>
              <c:numCache>
                <c:ptCount val="3"/>
                <c:pt idx="0">
                  <c:v>0.15</c:v>
                </c:pt>
                <c:pt idx="1">
                  <c:v>0.141</c:v>
                </c:pt>
                <c:pt idx="2">
                  <c:v>0.187</c:v>
                </c:pt>
              </c:numCache>
            </c:numRef>
          </c:val>
        </c:ser>
        <c:ser>
          <c:idx val="5"/>
          <c:order val="5"/>
          <c:tx>
            <c:strRef>
              <c:f>'Essay Scores DATA'!$A$23</c:f>
              <c:strCache>
                <c:ptCount val="1"/>
                <c:pt idx="0">
                  <c:v>4</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4
17.3%</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4
12.6%</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4
12.3%</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DATA'!$B$23:$D$23</c:f>
              <c:numCache>
                <c:ptCount val="3"/>
                <c:pt idx="0">
                  <c:v>0.173</c:v>
                </c:pt>
                <c:pt idx="1">
                  <c:v>0.126</c:v>
                </c:pt>
                <c:pt idx="2">
                  <c:v>0.123</c:v>
                </c:pt>
              </c:numCache>
            </c:numRef>
          </c:val>
        </c:ser>
        <c:ser>
          <c:idx val="4"/>
          <c:order val="6"/>
          <c:tx>
            <c:strRef>
              <c:f>'Essay Scores DATA'!$A$22</c:f>
              <c:strCache>
                <c:ptCount val="1"/>
                <c:pt idx="0">
                  <c:v>5</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5
19.3%</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5
11.3%</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5
10.1%</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DATA'!$B$22:$D$22</c:f>
              <c:numCache>
                <c:ptCount val="3"/>
                <c:pt idx="0">
                  <c:v>0.193</c:v>
                </c:pt>
                <c:pt idx="1">
                  <c:v>0.113</c:v>
                </c:pt>
                <c:pt idx="2">
                  <c:v>0.101</c:v>
                </c:pt>
              </c:numCache>
            </c:numRef>
          </c:val>
        </c:ser>
        <c:ser>
          <c:idx val="3"/>
          <c:order val="7"/>
          <c:tx>
            <c:strRef>
              <c:f>'Essay Scores DATA'!$A$21</c:f>
              <c:strCache>
                <c:ptCount val="1"/>
                <c:pt idx="0">
                  <c:v>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6
17.0%</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6
6.6%</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6
6.5%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DATA'!$B$21:$D$21</c:f>
              <c:numCache>
                <c:ptCount val="3"/>
                <c:pt idx="0">
                  <c:v>0.17</c:v>
                </c:pt>
                <c:pt idx="1">
                  <c:v>0.066</c:v>
                </c:pt>
                <c:pt idx="2">
                  <c:v>0.065</c:v>
                </c:pt>
              </c:numCache>
            </c:numRef>
          </c:val>
        </c:ser>
        <c:ser>
          <c:idx val="2"/>
          <c:order val="8"/>
          <c:tx>
            <c:strRef>
              <c:f>'Essay Scores DATA'!$A$20</c:f>
              <c:strCache>
                <c:ptCount val="1"/>
                <c:pt idx="0">
                  <c:v>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7
5.7%</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7 - 5.1%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7 - 4.5%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DATA'!$B$20:$D$20</c:f>
              <c:numCache>
                <c:ptCount val="3"/>
                <c:pt idx="0">
                  <c:v>0.057</c:v>
                </c:pt>
                <c:pt idx="1">
                  <c:v>0.051</c:v>
                </c:pt>
                <c:pt idx="2">
                  <c:v>0.045</c:v>
                </c:pt>
              </c:numCache>
            </c:numRef>
          </c:val>
        </c:ser>
        <c:ser>
          <c:idx val="1"/>
          <c:order val="9"/>
          <c:tx>
            <c:strRef>
              <c:f>'Essay Scores DATA'!$A$19</c:f>
              <c:strCache>
                <c:ptCount val="1"/>
                <c:pt idx="0">
                  <c:v>8</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8 - 3.8%</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8 - 4.0%</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8 - 3.1%</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DATA'!$B$19:$D$19</c:f>
              <c:numCache>
                <c:ptCount val="3"/>
                <c:pt idx="0">
                  <c:v>0.038</c:v>
                </c:pt>
                <c:pt idx="1">
                  <c:v>0.04</c:v>
                </c:pt>
                <c:pt idx="2">
                  <c:v>0.031</c:v>
                </c:pt>
              </c:numCache>
            </c:numRef>
          </c:val>
        </c:ser>
        <c:ser>
          <c:idx val="0"/>
          <c:order val="10"/>
          <c:tx>
            <c:strRef>
              <c:f>'Essay Scores DATA'!$A$18</c:f>
              <c:strCache>
                <c:ptCount val="1"/>
                <c:pt idx="0">
                  <c:v>9</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9 - 2.0%</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200" b="1" i="0" u="none" baseline="0"/>
                      <a:t>9 - 3.2%</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200" b="1" i="0" u="none" baseline="0"/>
                      <a:t>9 - 2.0%</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showLegendKey val="0"/>
            <c:showVal val="1"/>
            <c:showBubbleSize val="0"/>
            <c:showCatName val="0"/>
            <c:showSerName val="0"/>
            <c:showPercent val="0"/>
          </c:dLbls>
          <c:cat>
            <c:multiLvlStrRef>
              <c:f>'Essay Scores DATA'!$B$15:$D$17</c:f>
              <c:multiLvlStrCache>
                <c:ptCount val="3"/>
                <c:lvl>
                  <c:pt idx="0">
                    <c:v>DBQ</c:v>
                  </c:pt>
                  <c:pt idx="1">
                    <c:v>CCOT</c:v>
                  </c:pt>
                  <c:pt idx="2">
                    <c:v>Comparative</c:v>
                  </c:pt>
                </c:lvl>
                <c:lvl>
                  <c:pt idx="0">
                    <c:v>Christian/Muslim Trade Attitudes</c:v>
                  </c:pt>
                  <c:pt idx="1">
                    <c:v>Global Trade 1750-present</c:v>
                  </c:pt>
                  <c:pt idx="2">
                    <c:v>China &amp; Japan's Responses</c:v>
                  </c:pt>
                </c:lvl>
                <c:lvl>
                  <c:pt idx="0">
                    <c:v>Average = 4.26</c:v>
                  </c:pt>
                  <c:pt idx="1">
                    <c:v>Average = 3.32</c:v>
                  </c:pt>
                  <c:pt idx="2">
                    <c:v>Average = 3.14</c:v>
                  </c:pt>
                </c:lvl>
              </c:multiLvlStrCache>
            </c:multiLvlStrRef>
          </c:cat>
          <c:val>
            <c:numRef>
              <c:f>'Essay Scores DATA'!$B$18:$D$18</c:f>
              <c:numCache>
                <c:ptCount val="3"/>
                <c:pt idx="0">
                  <c:v>0.02</c:v>
                </c:pt>
                <c:pt idx="1">
                  <c:v>0.032</c:v>
                </c:pt>
                <c:pt idx="2">
                  <c:v>0.02</c:v>
                </c:pt>
              </c:numCache>
            </c:numRef>
          </c:val>
        </c:ser>
        <c:overlap val="99"/>
        <c:gapWidth val="60"/>
        <c:axId val="29525224"/>
        <c:axId val="64400425"/>
      </c:barChart>
      <c:catAx>
        <c:axId val="29525224"/>
        <c:scaling>
          <c:orientation val="minMax"/>
        </c:scaling>
        <c:axPos val="b"/>
        <c:delete val="0"/>
        <c:numFmt formatCode="General" sourceLinked="1"/>
        <c:majorTickMark val="out"/>
        <c:minorTickMark val="none"/>
        <c:tickLblPos val="nextTo"/>
        <c:txPr>
          <a:bodyPr/>
          <a:lstStyle/>
          <a:p>
            <a:pPr>
              <a:defRPr lang="en-US" cap="none" sz="1400" b="1" i="0" u="none" baseline="0"/>
            </a:pPr>
          </a:p>
        </c:txPr>
        <c:crossAx val="64400425"/>
        <c:crosses val="autoZero"/>
        <c:auto val="1"/>
        <c:lblOffset val="100"/>
        <c:noMultiLvlLbl val="0"/>
      </c:catAx>
      <c:valAx>
        <c:axId val="6440042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2952522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2007 AP World History Essay Scores Distribution</a:t>
            </a:r>
          </a:p>
        </c:rich>
      </c:tx>
      <c:layout/>
      <c:spPr>
        <a:noFill/>
        <a:ln>
          <a:noFill/>
        </a:ln>
      </c:spPr>
    </c:title>
    <c:plotArea>
      <c:layout>
        <c:manualLayout>
          <c:xMode val="edge"/>
          <c:yMode val="edge"/>
          <c:x val="0.028"/>
          <c:y val="0.08225"/>
          <c:w val="0.97025"/>
          <c:h val="0.901"/>
        </c:manualLayout>
      </c:layout>
      <c:barChart>
        <c:barDir val="col"/>
        <c:grouping val="percentStacked"/>
        <c:varyColors val="0"/>
        <c:ser>
          <c:idx val="10"/>
          <c:order val="0"/>
          <c:tx>
            <c:strRef>
              <c:f>'Essay Scores DATA'!$F$28</c:f>
              <c:strCache>
                <c:ptCount val="1"/>
                <c:pt idx="0">
                  <c:v>No Response</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DATA'!$G$28:$I$28</c:f>
              <c:numCache>
                <c:ptCount val="3"/>
                <c:pt idx="0">
                  <c:v>0.0072</c:v>
                </c:pt>
                <c:pt idx="1">
                  <c:v>0.0568</c:v>
                </c:pt>
                <c:pt idx="2">
                  <c:v>0.1016</c:v>
                </c:pt>
              </c:numCache>
            </c:numRef>
          </c:val>
        </c:ser>
        <c:ser>
          <c:idx val="9"/>
          <c:order val="1"/>
          <c:tx>
            <c:strRef>
              <c:f>'Essay Scores DATA'!$F$27</c:f>
              <c:strCache>
                <c:ptCount val="1"/>
                <c:pt idx="0">
                  <c:v>0</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DATA'!$G$27:$I$27</c:f>
              <c:numCache>
                <c:ptCount val="3"/>
                <c:pt idx="0">
                  <c:v>0.1158</c:v>
                </c:pt>
                <c:pt idx="1">
                  <c:v>0.3671</c:v>
                </c:pt>
                <c:pt idx="2">
                  <c:v>0.156</c:v>
                </c:pt>
              </c:numCache>
            </c:numRef>
          </c:val>
        </c:ser>
        <c:ser>
          <c:idx val="8"/>
          <c:order val="2"/>
          <c:tx>
            <c:strRef>
              <c:f>'Essay Scores DATA'!$F$26</c:f>
              <c:strCache>
                <c:ptCount val="1"/>
                <c:pt idx="0">
                  <c:v>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DATA'!$G$26:$I$26</c:f>
              <c:numCache>
                <c:ptCount val="3"/>
                <c:pt idx="0">
                  <c:v>0.1756</c:v>
                </c:pt>
                <c:pt idx="1">
                  <c:v>0.1829</c:v>
                </c:pt>
                <c:pt idx="2">
                  <c:v>0.1083</c:v>
                </c:pt>
              </c:numCache>
            </c:numRef>
          </c:val>
        </c:ser>
        <c:ser>
          <c:idx val="7"/>
          <c:order val="3"/>
          <c:tx>
            <c:strRef>
              <c:f>'Essay Scores DATA'!$F$25</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DATA'!$G$25:$I$25</c:f>
              <c:numCache>
                <c:ptCount val="3"/>
                <c:pt idx="0">
                  <c:v>0.191</c:v>
                </c:pt>
                <c:pt idx="1">
                  <c:v>0.1554</c:v>
                </c:pt>
                <c:pt idx="2">
                  <c:v>0.1007</c:v>
                </c:pt>
              </c:numCache>
            </c:numRef>
          </c:val>
        </c:ser>
        <c:ser>
          <c:idx val="6"/>
          <c:order val="4"/>
          <c:tx>
            <c:strRef>
              <c:f>'Essay Scores DATA'!$F$24</c:f>
              <c:strCache>
                <c:ptCount val="1"/>
                <c:pt idx="0">
                  <c:v>3</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DATA'!$G$24:$I$24</c:f>
              <c:numCache>
                <c:ptCount val="3"/>
                <c:pt idx="0">
                  <c:v>0.1608</c:v>
                </c:pt>
                <c:pt idx="1">
                  <c:v>0.1072</c:v>
                </c:pt>
                <c:pt idx="2">
                  <c:v>0.1037</c:v>
                </c:pt>
              </c:numCache>
            </c:numRef>
          </c:val>
        </c:ser>
        <c:ser>
          <c:idx val="5"/>
          <c:order val="5"/>
          <c:tx>
            <c:strRef>
              <c:f>'Essay Scores DATA'!$F$23</c:f>
              <c:strCache>
                <c:ptCount val="1"/>
                <c:pt idx="0">
                  <c:v>4</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DATA'!$G$23:$I$23</c:f>
              <c:numCache>
                <c:ptCount val="3"/>
                <c:pt idx="0">
                  <c:v>0.1253</c:v>
                </c:pt>
                <c:pt idx="1">
                  <c:v>0.0718</c:v>
                </c:pt>
                <c:pt idx="2">
                  <c:v>0.1143</c:v>
                </c:pt>
              </c:numCache>
            </c:numRef>
          </c:val>
        </c:ser>
        <c:ser>
          <c:idx val="4"/>
          <c:order val="6"/>
          <c:tx>
            <c:strRef>
              <c:f>'Essay Scores DATA'!$F$22</c:f>
              <c:strCache>
                <c:ptCount val="1"/>
                <c:pt idx="0">
                  <c:v>5</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1200" b="1" i="0" u="none" baseline="0"/>
                      <a:t>5 - 2.7%</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DATA'!$G$22:$I$22</c:f>
              <c:numCache>
                <c:ptCount val="3"/>
                <c:pt idx="0">
                  <c:v>0.1053</c:v>
                </c:pt>
                <c:pt idx="1">
                  <c:v>0.0272</c:v>
                </c:pt>
                <c:pt idx="2">
                  <c:v>0.1162</c:v>
                </c:pt>
              </c:numCache>
            </c:numRef>
          </c:val>
        </c:ser>
        <c:ser>
          <c:idx val="3"/>
          <c:order val="7"/>
          <c:tx>
            <c:strRef>
              <c:f>'Essay Scores DATA'!$F$21</c:f>
              <c:strCache>
                <c:ptCount val="1"/>
                <c:pt idx="0">
                  <c:v>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tx>
                <c:rich>
                  <a:bodyPr vert="horz" rot="0" anchor="ctr"/>
                  <a:lstStyle/>
                  <a:p>
                    <a:pPr algn="ctr">
                      <a:defRPr/>
                    </a:pPr>
                    <a:r>
                      <a:rPr lang="en-US" cap="none" sz="900" b="1" i="0" u="none" baseline="0"/>
                      <a:t>6 - 1.9%</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DATA'!$G$21:$I$21</c:f>
              <c:numCache>
                <c:ptCount val="3"/>
                <c:pt idx="0">
                  <c:v>0.0749</c:v>
                </c:pt>
                <c:pt idx="1">
                  <c:v>0.0186</c:v>
                </c:pt>
                <c:pt idx="2">
                  <c:v>0.1096</c:v>
                </c:pt>
              </c:numCache>
            </c:numRef>
          </c:val>
        </c:ser>
        <c:ser>
          <c:idx val="2"/>
          <c:order val="8"/>
          <c:tx>
            <c:strRef>
              <c:f>'Essay Scores DATA'!$A$20</c:f>
              <c:strCache>
                <c:ptCount val="1"/>
                <c:pt idx="0">
                  <c:v>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7 - 2.7%</a:t>
                    </a:r>
                  </a:p>
                </c:rich>
              </c:tx>
              <c:numFmt formatCode="General" sourceLinked="1"/>
              <c:showLegendKey val="0"/>
              <c:showVal val="1"/>
              <c:showBubbleSize val="0"/>
              <c:showCatName val="0"/>
              <c:showSerName val="1"/>
              <c:showPercent val="0"/>
              <c:separator>
</c:separator>
            </c:dLbl>
            <c:dLbl>
              <c:idx val="1"/>
              <c:delete val="1"/>
            </c:dLbl>
            <c:dLbl>
              <c:idx val="2"/>
              <c:tx>
                <c:rich>
                  <a:bodyPr vert="horz" rot="0" anchor="ctr"/>
                  <a:lstStyle/>
                  <a:p>
                    <a:pPr algn="ctr">
                      <a:defRPr/>
                    </a:pPr>
                    <a:r>
                      <a:rPr lang="en-US" cap="none" sz="1200" b="1" i="0" u="none" baseline="0"/>
                      <a:t>7 - 5.1%</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DATA'!$G$20:$I$20</c:f>
              <c:numCache>
                <c:ptCount val="3"/>
                <c:pt idx="0">
                  <c:v>0.0274</c:v>
                </c:pt>
                <c:pt idx="1">
                  <c:v>0.0068</c:v>
                </c:pt>
                <c:pt idx="2">
                  <c:v>0.0507</c:v>
                </c:pt>
              </c:numCache>
            </c:numRef>
          </c:val>
        </c:ser>
        <c:ser>
          <c:idx val="1"/>
          <c:order val="9"/>
          <c:tx>
            <c:strRef>
              <c:f>'Essay Scores DATA'!$F$19</c:f>
              <c:strCache>
                <c:ptCount val="1"/>
                <c:pt idx="0">
                  <c:v>8</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tx>
                <c:rich>
                  <a:bodyPr vert="horz" rot="0" anchor="ctr"/>
                  <a:lstStyle/>
                  <a:p>
                    <a:pPr algn="ctr">
                      <a:defRPr/>
                    </a:pPr>
                    <a:r>
                      <a:rPr lang="en-US" cap="none" sz="1000" b="1" i="0" u="none" baseline="0"/>
                      <a:t>8 - 2.6%</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000" b="1" i="0" u="none" baseline="0"/>
                </a:pPr>
              </a:p>
            </c:txPr>
            <c:showLegendKey val="0"/>
            <c:showVal val="1"/>
            <c:showBubbleSize val="0"/>
            <c:showCatName val="0"/>
            <c:showSerName val="1"/>
            <c:showPercent val="0"/>
            <c:separator>
</c:separator>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DATA'!$G$19:$I$19</c:f>
              <c:numCache>
                <c:ptCount val="3"/>
                <c:pt idx="0">
                  <c:v>0.0136</c:v>
                </c:pt>
                <c:pt idx="1">
                  <c:v>0.0043</c:v>
                </c:pt>
                <c:pt idx="2">
                  <c:v>0.0263</c:v>
                </c:pt>
              </c:numCache>
            </c:numRef>
          </c:val>
        </c:ser>
        <c:ser>
          <c:idx val="0"/>
          <c:order val="10"/>
          <c:tx>
            <c:strRef>
              <c:f>'Essay Scores DATA'!$F$18</c:f>
              <c:strCache>
                <c:ptCount val="1"/>
                <c:pt idx="0">
                  <c:v>9</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multiLvlStrRef>
              <c:f>'Essay Scores DATA'!$G$15:$I$17</c:f>
              <c:multiLvlStrCache>
                <c:ptCount val="3"/>
                <c:lvl>
                  <c:pt idx="0">
                    <c:v>DBQ</c:v>
                  </c:pt>
                  <c:pt idx="1">
                    <c:v>CCOT</c:v>
                  </c:pt>
                  <c:pt idx="2">
                    <c:v>Comparative</c:v>
                  </c:pt>
                </c:lvl>
                <c:lvl>
                  <c:pt idx="0">
                    <c:v>Rome vs. Han Tech Attitudes</c:v>
                  </c:pt>
                  <c:pt idx="1">
                    <c:v>20th C Nat'l Identities</c:v>
                  </c:pt>
                  <c:pt idx="2">
                    <c:v>Sp/Otto/Rus Empire Building Process</c:v>
                  </c:pt>
                </c:lvl>
                <c:lvl>
                  <c:pt idx="0">
                    <c:v>Average = 2.84</c:v>
                  </c:pt>
                  <c:pt idx="1">
                    <c:v>Average = 1.45</c:v>
                  </c:pt>
                  <c:pt idx="2">
                    <c:v>Average = 2.99</c:v>
                  </c:pt>
                </c:lvl>
              </c:multiLvlStrCache>
            </c:multiLvlStrRef>
          </c:cat>
          <c:val>
            <c:numRef>
              <c:f>'Essay Scores DATA'!$G$18:$I$18</c:f>
              <c:numCache>
                <c:ptCount val="3"/>
                <c:pt idx="0">
                  <c:v>0.003</c:v>
                </c:pt>
                <c:pt idx="1">
                  <c:v>0.0018</c:v>
                </c:pt>
                <c:pt idx="2">
                  <c:v>0.0124</c:v>
                </c:pt>
              </c:numCache>
            </c:numRef>
          </c:val>
        </c:ser>
        <c:overlap val="99"/>
        <c:gapWidth val="60"/>
        <c:axId val="42732914"/>
        <c:axId val="49051907"/>
      </c:barChart>
      <c:catAx>
        <c:axId val="42732914"/>
        <c:scaling>
          <c:orientation val="minMax"/>
        </c:scaling>
        <c:axPos val="b"/>
        <c:delete val="0"/>
        <c:numFmt formatCode="General" sourceLinked="1"/>
        <c:majorTickMark val="out"/>
        <c:minorTickMark val="none"/>
        <c:tickLblPos val="nextTo"/>
        <c:txPr>
          <a:bodyPr/>
          <a:lstStyle/>
          <a:p>
            <a:pPr>
              <a:defRPr lang="en-US" cap="none" sz="1400" b="1" i="0" u="none" baseline="0"/>
            </a:pPr>
          </a:p>
        </c:txPr>
        <c:crossAx val="49051907"/>
        <c:crosses val="autoZero"/>
        <c:auto val="1"/>
        <c:lblOffset val="100"/>
        <c:noMultiLvlLbl val="0"/>
      </c:catAx>
      <c:valAx>
        <c:axId val="49051907"/>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4273291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2002 vs. 2007 AP World History Essay Scores Distribution</a:t>
            </a:r>
          </a:p>
        </c:rich>
      </c:tx>
      <c:layout/>
      <c:spPr>
        <a:noFill/>
        <a:ln>
          <a:noFill/>
        </a:ln>
      </c:spPr>
    </c:title>
    <c:plotArea>
      <c:layout>
        <c:manualLayout>
          <c:xMode val="edge"/>
          <c:yMode val="edge"/>
          <c:x val="0.02625"/>
          <c:y val="0.114"/>
          <c:w val="0.9725"/>
          <c:h val="0.8655"/>
        </c:manualLayout>
      </c:layout>
      <c:barChart>
        <c:barDir val="col"/>
        <c:grouping val="percentStacked"/>
        <c:varyColors val="0"/>
        <c:ser>
          <c:idx val="10"/>
          <c:order val="0"/>
          <c:tx>
            <c:strRef>
              <c:f>'Essay Scores DATA'!$K$28</c:f>
              <c:strCache>
                <c:ptCount val="1"/>
                <c:pt idx="0">
                  <c:v>No Response</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5"/>
              <c:delete val="1"/>
            </c:dLbl>
            <c:numFmt formatCode="General" sourceLinked="1"/>
            <c:txPr>
              <a:bodyPr vert="horz" rot="0" anchor="ctr"/>
              <a:lstStyle/>
              <a:p>
                <a:pPr algn="ctr">
                  <a:defRPr lang="en-US" cap="none" sz="85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DATA'!$L$28:$S$28</c:f>
              <c:numCache>
                <c:ptCount val="8"/>
                <c:pt idx="0">
                  <c:v>0.007</c:v>
                </c:pt>
                <c:pt idx="1">
                  <c:v>0.0072</c:v>
                </c:pt>
                <c:pt idx="3">
                  <c:v>0.035</c:v>
                </c:pt>
                <c:pt idx="4">
                  <c:v>0.0568</c:v>
                </c:pt>
                <c:pt idx="6">
                  <c:v>0.057</c:v>
                </c:pt>
                <c:pt idx="7">
                  <c:v>0.1016</c:v>
                </c:pt>
              </c:numCache>
            </c:numRef>
          </c:val>
        </c:ser>
        <c:ser>
          <c:idx val="9"/>
          <c:order val="1"/>
          <c:tx>
            <c:strRef>
              <c:f>'Essay Scores DATA'!$K$27</c:f>
              <c:strCache>
                <c:ptCount val="1"/>
                <c:pt idx="0">
                  <c:v>0</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50" b="1" i="0" u="none" baseline="0"/>
                      <a:t>0 - 3.2%</a:t>
                    </a:r>
                  </a:p>
                </c:rich>
              </c:tx>
              <c:numFmt formatCode="General" sourceLinked="1"/>
              <c:showLegendKey val="0"/>
              <c:showVal val="1"/>
              <c:showBubbleSize val="0"/>
              <c:showCatName val="0"/>
              <c:showSerName val="1"/>
              <c:showPercent val="0"/>
              <c:separator>
</c:separator>
            </c:dLbl>
            <c:dLbl>
              <c:idx val="2"/>
              <c:delete val="1"/>
            </c:dLbl>
            <c:dLbl>
              <c:idx val="5"/>
              <c:delete val="1"/>
            </c:dLbl>
            <c:numFmt formatCode="General" sourceLinked="1"/>
            <c:txPr>
              <a:bodyPr vert="horz" rot="0" anchor="ctr"/>
              <a:lstStyle/>
              <a:p>
                <a:pPr algn="ctr">
                  <a:defRPr lang="en-US" cap="none" sz="85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DATA'!$L$27:$S$27</c:f>
              <c:numCache>
                <c:ptCount val="8"/>
                <c:pt idx="0">
                  <c:v>0.032</c:v>
                </c:pt>
                <c:pt idx="1">
                  <c:v>0.1158</c:v>
                </c:pt>
                <c:pt idx="3">
                  <c:v>0.084</c:v>
                </c:pt>
                <c:pt idx="4">
                  <c:v>0.3671</c:v>
                </c:pt>
                <c:pt idx="6">
                  <c:v>0.081</c:v>
                </c:pt>
                <c:pt idx="7">
                  <c:v>0.156</c:v>
                </c:pt>
              </c:numCache>
            </c:numRef>
          </c:val>
        </c:ser>
        <c:ser>
          <c:idx val="8"/>
          <c:order val="2"/>
          <c:tx>
            <c:strRef>
              <c:f>'Essay Scores DATA'!$K$26</c:f>
              <c:strCache>
                <c:ptCount val="1"/>
                <c:pt idx="0">
                  <c:v>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numFmt formatCode="General" sourceLinked="1"/>
            <c:txPr>
              <a:bodyPr vert="horz" rot="0" anchor="ctr"/>
              <a:lstStyle/>
              <a:p>
                <a:pPr algn="ctr">
                  <a:defRPr lang="en-US" cap="none" sz="85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DATA'!$L$26:$S$26</c:f>
              <c:numCache>
                <c:ptCount val="8"/>
                <c:pt idx="0">
                  <c:v>0.062</c:v>
                </c:pt>
                <c:pt idx="1">
                  <c:v>0.1756</c:v>
                </c:pt>
                <c:pt idx="3">
                  <c:v>0.154</c:v>
                </c:pt>
                <c:pt idx="4">
                  <c:v>0.1829</c:v>
                </c:pt>
                <c:pt idx="6">
                  <c:v>0.138</c:v>
                </c:pt>
                <c:pt idx="7">
                  <c:v>0.1083</c:v>
                </c:pt>
              </c:numCache>
            </c:numRef>
          </c:val>
        </c:ser>
        <c:ser>
          <c:idx val="7"/>
          <c:order val="3"/>
          <c:tx>
            <c:strRef>
              <c:f>'Essay Scores DATA'!$K$25</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numFmt formatCode="General" sourceLinked="1"/>
            <c:txPr>
              <a:bodyPr vert="horz" rot="0" anchor="ctr"/>
              <a:lstStyle/>
              <a:p>
                <a:pPr algn="ctr">
                  <a:defRPr lang="en-US" cap="none" sz="85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DATA'!$L$25:$S$25</c:f>
              <c:numCache>
                <c:ptCount val="8"/>
                <c:pt idx="0">
                  <c:v>0.098</c:v>
                </c:pt>
                <c:pt idx="1">
                  <c:v>0.191</c:v>
                </c:pt>
                <c:pt idx="3">
                  <c:v>0.157</c:v>
                </c:pt>
                <c:pt idx="4">
                  <c:v>0.1554</c:v>
                </c:pt>
                <c:pt idx="6">
                  <c:v>0.151</c:v>
                </c:pt>
                <c:pt idx="7">
                  <c:v>0.1007</c:v>
                </c:pt>
              </c:numCache>
            </c:numRef>
          </c:val>
        </c:ser>
        <c:ser>
          <c:idx val="6"/>
          <c:order val="4"/>
          <c:tx>
            <c:strRef>
              <c:f>'Essay Scores DATA'!$K$24</c:f>
              <c:strCache>
                <c:ptCount val="1"/>
                <c:pt idx="0">
                  <c:v>3</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numFmt formatCode="General" sourceLinked="1"/>
            <c:txPr>
              <a:bodyPr vert="horz" rot="0" anchor="ctr"/>
              <a:lstStyle/>
              <a:p>
                <a:pPr algn="ctr">
                  <a:defRPr lang="en-US" cap="none" sz="85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DATA'!$L$24:$S$24</c:f>
              <c:numCache>
                <c:ptCount val="8"/>
                <c:pt idx="0">
                  <c:v>0.15</c:v>
                </c:pt>
                <c:pt idx="1">
                  <c:v>0.1608</c:v>
                </c:pt>
                <c:pt idx="3">
                  <c:v>0.141</c:v>
                </c:pt>
                <c:pt idx="4">
                  <c:v>0.1072</c:v>
                </c:pt>
                <c:pt idx="6">
                  <c:v>0.187</c:v>
                </c:pt>
                <c:pt idx="7">
                  <c:v>0.1037</c:v>
                </c:pt>
              </c:numCache>
            </c:numRef>
          </c:val>
        </c:ser>
        <c:ser>
          <c:idx val="5"/>
          <c:order val="5"/>
          <c:tx>
            <c:strRef>
              <c:f>'Essay Scores DATA'!$K$23</c:f>
              <c:strCache>
                <c:ptCount val="1"/>
                <c:pt idx="0">
                  <c:v>4</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numFmt formatCode="General" sourceLinked="1"/>
            <c:txPr>
              <a:bodyPr vert="horz" rot="0" anchor="ctr"/>
              <a:lstStyle/>
              <a:p>
                <a:pPr algn="ctr">
                  <a:defRPr lang="en-US" cap="none" sz="85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DATA'!$L$23:$S$23</c:f>
              <c:numCache>
                <c:ptCount val="8"/>
                <c:pt idx="0">
                  <c:v>0.173</c:v>
                </c:pt>
                <c:pt idx="1">
                  <c:v>0.1253</c:v>
                </c:pt>
                <c:pt idx="3">
                  <c:v>0.126</c:v>
                </c:pt>
                <c:pt idx="4">
                  <c:v>0.0718</c:v>
                </c:pt>
                <c:pt idx="6">
                  <c:v>0.123</c:v>
                </c:pt>
                <c:pt idx="7">
                  <c:v>0.1143</c:v>
                </c:pt>
              </c:numCache>
            </c:numRef>
          </c:val>
        </c:ser>
        <c:ser>
          <c:idx val="4"/>
          <c:order val="6"/>
          <c:tx>
            <c:strRef>
              <c:f>'Essay Scores DATA'!$K$22</c:f>
              <c:strCache>
                <c:ptCount val="1"/>
                <c:pt idx="0">
                  <c:v>5</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850" b="1" i="0" u="none" baseline="0"/>
                      <a:t>5 - 2.7%</a:t>
                    </a:r>
                  </a:p>
                </c:rich>
              </c:tx>
              <c:numFmt formatCode="General" sourceLinked="1"/>
              <c:showLegendKey val="0"/>
              <c:showVal val="1"/>
              <c:showBubbleSize val="0"/>
              <c:showCatName val="0"/>
              <c:showSerName val="1"/>
              <c:showPercent val="0"/>
              <c:separator>
</c:separator>
            </c:dLbl>
            <c:dLbl>
              <c:idx val="2"/>
              <c:delete val="1"/>
            </c:dLbl>
            <c:dLbl>
              <c:idx val="4"/>
              <c:tx>
                <c:rich>
                  <a:bodyPr vert="horz" rot="0" anchor="ctr"/>
                  <a:lstStyle/>
                  <a:p>
                    <a:pPr algn="ctr">
                      <a:defRPr/>
                    </a:pPr>
                    <a:r>
                      <a:rPr lang="en-US" cap="none" sz="850" b="1" i="0" u="none" baseline="0"/>
                      <a:t>5 - 2.7%</a:t>
                    </a:r>
                  </a:p>
                </c:rich>
              </c:tx>
              <c:numFmt formatCode="General" sourceLinked="1"/>
              <c:showLegendKey val="0"/>
              <c:showVal val="1"/>
              <c:showBubbleSize val="0"/>
              <c:showCatName val="0"/>
              <c:showSerName val="1"/>
              <c:showPercent val="0"/>
              <c:separator>
</c:separator>
            </c:dLbl>
            <c:dLbl>
              <c:idx val="5"/>
              <c:delete val="1"/>
            </c:dLbl>
            <c:numFmt formatCode="General" sourceLinked="1"/>
            <c:txPr>
              <a:bodyPr vert="horz" rot="0" anchor="ctr"/>
              <a:lstStyle/>
              <a:p>
                <a:pPr algn="ctr">
                  <a:defRPr lang="en-US" cap="none" sz="85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DATA'!$L$22:$S$22</c:f>
              <c:numCache>
                <c:ptCount val="8"/>
                <c:pt idx="0">
                  <c:v>0.193</c:v>
                </c:pt>
                <c:pt idx="1">
                  <c:v>0.1053</c:v>
                </c:pt>
                <c:pt idx="3">
                  <c:v>0.113</c:v>
                </c:pt>
                <c:pt idx="4">
                  <c:v>0.0272</c:v>
                </c:pt>
                <c:pt idx="6">
                  <c:v>0.101</c:v>
                </c:pt>
                <c:pt idx="7">
                  <c:v>0.1162</c:v>
                </c:pt>
              </c:numCache>
            </c:numRef>
          </c:val>
        </c:ser>
        <c:ser>
          <c:idx val="3"/>
          <c:order val="7"/>
          <c:tx>
            <c:strRef>
              <c:f>'Essay Scores DATA'!$K$21</c:f>
              <c:strCache>
                <c:ptCount val="1"/>
                <c:pt idx="0">
                  <c:v>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4"/>
              <c:delete val="1"/>
            </c:dLbl>
            <c:dLbl>
              <c:idx val="5"/>
              <c:delete val="1"/>
            </c:dLbl>
            <c:numFmt formatCode="General" sourceLinked="1"/>
            <c:txPr>
              <a:bodyPr vert="horz" rot="0" anchor="ctr"/>
              <a:lstStyle/>
              <a:p>
                <a:pPr algn="ctr">
                  <a:defRPr lang="en-US" cap="none" sz="85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DATA'!$L$21:$S$21</c:f>
              <c:numCache>
                <c:ptCount val="8"/>
                <c:pt idx="0">
                  <c:v>0.17</c:v>
                </c:pt>
                <c:pt idx="1">
                  <c:v>0.0749</c:v>
                </c:pt>
                <c:pt idx="3">
                  <c:v>0.066</c:v>
                </c:pt>
                <c:pt idx="4">
                  <c:v>0.0186</c:v>
                </c:pt>
                <c:pt idx="6">
                  <c:v>0.065</c:v>
                </c:pt>
                <c:pt idx="7">
                  <c:v>0.1096</c:v>
                </c:pt>
              </c:numCache>
            </c:numRef>
          </c:val>
        </c:ser>
        <c:ser>
          <c:idx val="2"/>
          <c:order val="8"/>
          <c:tx>
            <c:strRef>
              <c:f>'Essay Scores DATA'!$K$20</c:f>
              <c:strCache>
                <c:ptCount val="1"/>
                <c:pt idx="0">
                  <c:v>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delete val="1"/>
            </c:dLbl>
            <c:dLbl>
              <c:idx val="2"/>
              <c:delete val="1"/>
            </c:dLbl>
            <c:dLbl>
              <c:idx val="3"/>
              <c:tx>
                <c:rich>
                  <a:bodyPr vert="horz" rot="0" anchor="ctr"/>
                  <a:lstStyle/>
                  <a:p>
                    <a:pPr algn="ctr">
                      <a:defRPr/>
                    </a:pPr>
                    <a:r>
                      <a:rPr lang="en-US" cap="none" sz="850" b="1" i="0" u="none" baseline="0"/>
                      <a:t>7- 5.1%</a:t>
                    </a:r>
                  </a:p>
                </c:rich>
              </c:tx>
              <c:numFmt formatCode="General" sourceLinked="1"/>
              <c:showLegendKey val="0"/>
              <c:showVal val="1"/>
              <c:showBubbleSize val="0"/>
              <c:showCatName val="0"/>
              <c:showSerName val="1"/>
              <c:showPercent val="0"/>
              <c:separator>
</c:separator>
            </c:dLbl>
            <c:dLbl>
              <c:idx val="4"/>
              <c:delete val="1"/>
            </c:dLbl>
            <c:dLbl>
              <c:idx val="5"/>
              <c:delete val="1"/>
            </c:dLbl>
            <c:dLbl>
              <c:idx val="6"/>
              <c:tx>
                <c:rich>
                  <a:bodyPr vert="horz" rot="0" anchor="ctr"/>
                  <a:lstStyle/>
                  <a:p>
                    <a:pPr algn="ctr">
                      <a:defRPr/>
                    </a:pPr>
                    <a:r>
                      <a:rPr lang="en-US" cap="none" sz="850" b="1" i="0" u="none" baseline="0"/>
                      <a:t>7- 4.5%</a:t>
                    </a:r>
                  </a:p>
                </c:rich>
              </c:tx>
              <c:numFmt formatCode="General" sourceLinked="1"/>
              <c:showLegendKey val="0"/>
              <c:showVal val="1"/>
              <c:showBubbleSize val="0"/>
              <c:showCatName val="0"/>
              <c:showSerName val="1"/>
              <c:showPercent val="0"/>
              <c:separator>
</c:separator>
            </c:dLbl>
            <c:dLbl>
              <c:idx val="7"/>
              <c:tx>
                <c:rich>
                  <a:bodyPr vert="horz" rot="0" anchor="ctr"/>
                  <a:lstStyle/>
                  <a:p>
                    <a:pPr algn="ctr">
                      <a:defRPr/>
                    </a:pPr>
                    <a:r>
                      <a:rPr lang="en-US" cap="none" sz="850" b="1" i="0" u="none" baseline="0"/>
                      <a:t>7 - 5.1%</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85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DATA'!$L$20:$S$20</c:f>
              <c:numCache>
                <c:ptCount val="8"/>
                <c:pt idx="0">
                  <c:v>0.057</c:v>
                </c:pt>
                <c:pt idx="1">
                  <c:v>0.0274</c:v>
                </c:pt>
                <c:pt idx="3">
                  <c:v>0.051</c:v>
                </c:pt>
                <c:pt idx="4">
                  <c:v>0.0068</c:v>
                </c:pt>
                <c:pt idx="6">
                  <c:v>0.045</c:v>
                </c:pt>
                <c:pt idx="7">
                  <c:v>0.0507</c:v>
                </c:pt>
              </c:numCache>
            </c:numRef>
          </c:val>
        </c:ser>
        <c:ser>
          <c:idx val="1"/>
          <c:order val="9"/>
          <c:tx>
            <c:strRef>
              <c:f>'Essay Scores DATA'!$K$19</c:f>
              <c:strCache>
                <c:ptCount val="1"/>
                <c:pt idx="0">
                  <c:v>8</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1" i="0" u="none" baseline="0"/>
                      <a:t>8 - 3.8%</a:t>
                    </a:r>
                  </a:p>
                </c:rich>
              </c:tx>
              <c:numFmt formatCode="General" sourceLinked="1"/>
              <c:showLegendKey val="0"/>
              <c:showVal val="1"/>
              <c:showBubbleSize val="0"/>
              <c:showCatName val="0"/>
              <c:showSerName val="1"/>
              <c:showPercent val="0"/>
              <c:separator>
</c:separator>
            </c:dLbl>
            <c:dLbl>
              <c:idx val="1"/>
              <c:delete val="1"/>
            </c:dLbl>
            <c:dLbl>
              <c:idx val="2"/>
              <c:delete val="1"/>
            </c:dLbl>
            <c:dLbl>
              <c:idx val="3"/>
              <c:tx>
                <c:rich>
                  <a:bodyPr vert="horz" rot="0" anchor="ctr"/>
                  <a:lstStyle/>
                  <a:p>
                    <a:pPr algn="ctr">
                      <a:defRPr/>
                    </a:pPr>
                    <a:r>
                      <a:rPr lang="en-US" cap="none" sz="800" b="1" i="0" u="none" baseline="0"/>
                      <a:t>8 - 4.0%</a:t>
                    </a:r>
                  </a:p>
                </c:rich>
              </c:tx>
              <c:numFmt formatCode="General" sourceLinked="1"/>
              <c:showLegendKey val="0"/>
              <c:showVal val="1"/>
              <c:showBubbleSize val="0"/>
              <c:showCatName val="0"/>
              <c:showSerName val="1"/>
              <c:showPercent val="0"/>
              <c:separator>
</c:separator>
            </c:dLbl>
            <c:dLbl>
              <c:idx val="4"/>
              <c:delete val="1"/>
            </c:dLbl>
            <c:dLbl>
              <c:idx val="5"/>
              <c:delete val="1"/>
            </c:dLbl>
            <c:dLbl>
              <c:idx val="6"/>
              <c:tx>
                <c:rich>
                  <a:bodyPr vert="horz" rot="0" anchor="ctr"/>
                  <a:lstStyle/>
                  <a:p>
                    <a:pPr algn="ctr">
                      <a:defRPr/>
                    </a:pPr>
                    <a:r>
                      <a:rPr lang="en-US" cap="none" sz="800" b="1" i="0" u="none" baseline="0"/>
                      <a:t>8 - 3.1%</a:t>
                    </a:r>
                  </a:p>
                </c:rich>
              </c:tx>
              <c:numFmt formatCode="General" sourceLinked="1"/>
              <c:showLegendKey val="0"/>
              <c:showVal val="1"/>
              <c:showBubbleSize val="0"/>
              <c:showCatName val="0"/>
              <c:showSerName val="1"/>
              <c:showPercent val="0"/>
              <c:separator>
</c:separator>
            </c:dLbl>
            <c:dLbl>
              <c:idx val="7"/>
              <c:tx>
                <c:rich>
                  <a:bodyPr vert="horz" rot="0" anchor="ctr"/>
                  <a:lstStyle/>
                  <a:p>
                    <a:pPr algn="ctr">
                      <a:defRPr/>
                    </a:pPr>
                    <a:r>
                      <a:rPr lang="en-US" cap="none" sz="800" b="1" i="0" u="none" baseline="0"/>
                      <a:t>8 - 2.6%</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800" b="1"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DATA'!$L$19:$S$19</c:f>
              <c:numCache>
                <c:ptCount val="8"/>
                <c:pt idx="0">
                  <c:v>0.038</c:v>
                </c:pt>
                <c:pt idx="1">
                  <c:v>0.0136</c:v>
                </c:pt>
                <c:pt idx="3">
                  <c:v>0.04</c:v>
                </c:pt>
                <c:pt idx="4">
                  <c:v>0.0043</c:v>
                </c:pt>
                <c:pt idx="6">
                  <c:v>0.031</c:v>
                </c:pt>
                <c:pt idx="7">
                  <c:v>0.0263</c:v>
                </c:pt>
              </c:numCache>
            </c:numRef>
          </c:val>
        </c:ser>
        <c:ser>
          <c:idx val="0"/>
          <c:order val="10"/>
          <c:tx>
            <c:strRef>
              <c:f>'Essay Scores DATA'!$K$18</c:f>
              <c:strCache>
                <c:ptCount val="1"/>
                <c:pt idx="0">
                  <c:v>9</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t>9 - 2.0%</a:t>
                    </a:r>
                  </a:p>
                </c:rich>
              </c:tx>
              <c:numFmt formatCode="General" sourceLinked="1"/>
              <c:showLegendKey val="0"/>
              <c:showVal val="1"/>
              <c:showBubbleSize val="0"/>
              <c:showCatName val="0"/>
              <c:showSerName val="1"/>
              <c:showPercent val="0"/>
              <c:separator> </c:separator>
            </c:dLbl>
            <c:dLbl>
              <c:idx val="1"/>
              <c:delete val="1"/>
            </c:dLbl>
            <c:dLbl>
              <c:idx val="2"/>
              <c:delete val="1"/>
            </c:dLbl>
            <c:dLbl>
              <c:idx val="3"/>
              <c:tx>
                <c:rich>
                  <a:bodyPr vert="horz" rot="0" anchor="ctr"/>
                  <a:lstStyle/>
                  <a:p>
                    <a:pPr algn="ctr">
                      <a:defRPr/>
                    </a:pPr>
                    <a:r>
                      <a:rPr lang="en-US" cap="none" sz="800" b="0" i="0" u="none" baseline="0"/>
                      <a:t>9 - 3.2%</a:t>
                    </a:r>
                  </a:p>
                </c:rich>
              </c:tx>
              <c:numFmt formatCode="General" sourceLinked="1"/>
              <c:showLegendKey val="0"/>
              <c:showVal val="1"/>
              <c:showBubbleSize val="0"/>
              <c:showCatName val="0"/>
              <c:showSerName val="1"/>
              <c:showPercent val="0"/>
              <c:separator> </c:separator>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1"/>
            <c:showPercent val="0"/>
            <c:separator> </c:separator>
          </c:dLbls>
          <c:cat>
            <c:multiLvlStrRef>
              <c:f>'Essay Scores DATA'!$L$14:$S$17</c:f>
              <c:multiLvlStrCache>
                <c:ptCount val="8"/>
                <c:lvl>
                  <c:pt idx="0">
                    <c:v>4.26</c:v>
                  </c:pt>
                  <c:pt idx="1">
                    <c:v>2.84</c:v>
                  </c:pt>
                  <c:pt idx="2">
                    <c:v>   </c:v>
                  </c:pt>
                  <c:pt idx="3">
                    <c:v>3.32</c:v>
                  </c:pt>
                  <c:pt idx="4">
                    <c:v>1.45</c:v>
                  </c:pt>
                  <c:pt idx="5">
                    <c:v>   </c:v>
                  </c:pt>
                  <c:pt idx="6">
                    <c:v>3.14</c:v>
                  </c:pt>
                  <c:pt idx="7">
                    <c:v>2.99</c:v>
                  </c:pt>
                </c:lvl>
                <c:lvl>
                  <c:pt idx="0">
                    <c:v>2002</c:v>
                  </c:pt>
                  <c:pt idx="1">
                    <c:v>2007</c:v>
                  </c:pt>
                  <c:pt idx="3">
                    <c:v>2002</c:v>
                  </c:pt>
                  <c:pt idx="4">
                    <c:v>2007</c:v>
                  </c:pt>
                  <c:pt idx="6">
                    <c:v>2002</c:v>
                  </c:pt>
                  <c:pt idx="7">
                    <c:v>2007</c:v>
                  </c:pt>
                </c:lvl>
                <c:lvl>
                  <c:pt idx="0">
                    <c:v>DBQ</c:v>
                  </c:pt>
                  <c:pt idx="3">
                    <c:v>CCOT</c:v>
                  </c:pt>
                  <c:pt idx="6">
                    <c:v>Comparative</c:v>
                  </c:pt>
                </c:lvl>
              </c:multiLvlStrCache>
            </c:multiLvlStrRef>
          </c:cat>
          <c:val>
            <c:numRef>
              <c:f>'Essay Scores DATA'!$L$18:$S$18</c:f>
              <c:numCache>
                <c:ptCount val="8"/>
                <c:pt idx="0">
                  <c:v>0.02</c:v>
                </c:pt>
                <c:pt idx="1">
                  <c:v>0.003</c:v>
                </c:pt>
                <c:pt idx="3">
                  <c:v>0.032</c:v>
                </c:pt>
                <c:pt idx="4">
                  <c:v>0.0018</c:v>
                </c:pt>
                <c:pt idx="6">
                  <c:v>0.02</c:v>
                </c:pt>
                <c:pt idx="7">
                  <c:v>0.0124</c:v>
                </c:pt>
              </c:numCache>
            </c:numRef>
          </c:val>
        </c:ser>
        <c:overlap val="99"/>
        <c:gapWidth val="40"/>
        <c:axId val="38813980"/>
        <c:axId val="13781501"/>
      </c:barChart>
      <c:catAx>
        <c:axId val="38813980"/>
        <c:scaling>
          <c:orientation val="minMax"/>
        </c:scaling>
        <c:axPos val="b"/>
        <c:delete val="0"/>
        <c:numFmt formatCode="General" sourceLinked="1"/>
        <c:majorTickMark val="out"/>
        <c:minorTickMark val="none"/>
        <c:tickLblPos val="nextTo"/>
        <c:txPr>
          <a:bodyPr/>
          <a:lstStyle/>
          <a:p>
            <a:pPr>
              <a:defRPr lang="en-US" cap="none" sz="1200" b="1" i="0" u="none" baseline="0"/>
            </a:pPr>
          </a:p>
        </c:txPr>
        <c:crossAx val="13781501"/>
        <c:crosses val="autoZero"/>
        <c:auto val="1"/>
        <c:lblOffset val="100"/>
        <c:noMultiLvlLbl val="0"/>
      </c:catAx>
      <c:valAx>
        <c:axId val="13781501"/>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1" i="0" u="none" baseline="0"/>
            </a:pPr>
          </a:p>
        </c:txPr>
        <c:crossAx val="3881398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AP Histories</a:t>
            </a:r>
            <a:r>
              <a:rPr lang="en-US" cap="none" sz="1400" b="1" i="0" u="none" baseline="0"/>
              <a:t>
What % of students earn what score for all AP History Exams?</a:t>
            </a:r>
          </a:p>
        </c:rich>
      </c:tx>
      <c:layout/>
      <c:spPr>
        <a:noFill/>
        <a:ln>
          <a:noFill/>
        </a:ln>
      </c:spPr>
    </c:title>
    <c:plotArea>
      <c:layout>
        <c:manualLayout>
          <c:xMode val="edge"/>
          <c:yMode val="edge"/>
          <c:x val="0.0125"/>
          <c:y val="0.136"/>
          <c:w val="0.975"/>
          <c:h val="0.847"/>
        </c:manualLayout>
      </c:layout>
      <c:barChart>
        <c:barDir val="col"/>
        <c:grouping val="percentStacked"/>
        <c:varyColors val="0"/>
        <c:ser>
          <c:idx val="5"/>
          <c:order val="0"/>
          <c:tx>
            <c:strRef>
              <c:f>'AP Histories DATA'!$A$12</c:f>
              <c:strCache>
                <c:ptCount val="1"/>
                <c:pt idx="0">
                  <c:v>1</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7"/>
              <c:delete val="1"/>
            </c:dLbl>
            <c:dLbl>
              <c:idx val="11"/>
              <c:delete val="1"/>
            </c:dLbl>
            <c:dLbl>
              <c:idx val="15"/>
              <c:delete val="1"/>
            </c:dLbl>
            <c:dLbl>
              <c:idx val="19"/>
              <c:delete val="1"/>
            </c:dLbl>
            <c:numFmt formatCode="General" sourceLinked="1"/>
            <c:txPr>
              <a:bodyPr vert="horz" rot="0" anchor="ctr"/>
              <a:lstStyle/>
              <a:p>
                <a:pPr algn="ctr">
                  <a:defRPr lang="en-US" cap="none" sz="1000" b="1" i="0" u="none" baseline="0"/>
                </a:pPr>
              </a:p>
            </c:txPr>
            <c:showLegendKey val="0"/>
            <c:showVal val="1"/>
            <c:showBubbleSize val="0"/>
            <c:showCatName val="0"/>
            <c:showSerName val="1"/>
            <c:showPercent val="0"/>
            <c:separator>
</c:separator>
          </c:dLbls>
          <c:cat>
            <c:multiLvlStrRef>
              <c:f>'AP Histories DATA'!$B$6:$AB$7</c:f>
              <c:multiLvlStrCache>
                <c:ptCount val="27"/>
                <c:lvl>
                  <c:pt idx="0">
                    <c:v>World</c:v>
                  </c:pt>
                  <c:pt idx="1">
                    <c:v>US</c:v>
                  </c:pt>
                  <c:pt idx="2">
                    <c:v>Europe</c:v>
                  </c:pt>
                  <c:pt idx="3">
                    <c:v>0</c:v>
                  </c:pt>
                  <c:pt idx="4">
                    <c:v>World</c:v>
                  </c:pt>
                  <c:pt idx="5">
                    <c:v>US</c:v>
                  </c:pt>
                  <c:pt idx="6">
                    <c:v>Europe</c:v>
                  </c:pt>
                  <c:pt idx="7">
                    <c:v>0</c:v>
                  </c:pt>
                  <c:pt idx="8">
                    <c:v>World</c:v>
                  </c:pt>
                  <c:pt idx="9">
                    <c:v>US</c:v>
                  </c:pt>
                  <c:pt idx="10">
                    <c:v>Europe</c:v>
                  </c:pt>
                  <c:pt idx="11">
                    <c:v>0</c:v>
                  </c:pt>
                  <c:pt idx="12">
                    <c:v>World</c:v>
                  </c:pt>
                  <c:pt idx="13">
                    <c:v>US</c:v>
                  </c:pt>
                  <c:pt idx="14">
                    <c:v>Europe</c:v>
                  </c:pt>
                  <c:pt idx="15">
                    <c:v>0</c:v>
                  </c:pt>
                  <c:pt idx="16">
                    <c:v>World</c:v>
                  </c:pt>
                  <c:pt idx="17">
                    <c:v>US</c:v>
                  </c:pt>
                  <c:pt idx="18">
                    <c:v>Europe</c:v>
                  </c:pt>
                  <c:pt idx="19">
                    <c:v>0</c:v>
                  </c:pt>
                  <c:pt idx="20">
                    <c:v>World</c:v>
                  </c:pt>
                  <c:pt idx="21">
                    <c:v>US</c:v>
                  </c:pt>
                  <c:pt idx="22">
                    <c:v>Europe</c:v>
                  </c:pt>
                  <c:pt idx="23">
                    <c:v>0</c:v>
                  </c:pt>
                  <c:pt idx="24">
                    <c:v>World</c:v>
                  </c:pt>
                  <c:pt idx="25">
                    <c:v>US</c:v>
                  </c:pt>
                  <c:pt idx="26">
                    <c:v>Europe</c:v>
                  </c:pt>
                </c:lvl>
                <c:lvl>
                  <c:pt idx="0">
                    <c:v>2002</c:v>
                  </c:pt>
                  <c:pt idx="4">
                    <c:v>2003</c:v>
                  </c:pt>
                  <c:pt idx="8">
                    <c:v>2004</c:v>
                  </c:pt>
                  <c:pt idx="12">
                    <c:v>2005</c:v>
                  </c:pt>
                  <c:pt idx="16">
                    <c:v>2006</c:v>
                  </c:pt>
                  <c:pt idx="20">
                    <c:v>2007</c:v>
                  </c:pt>
                  <c:pt idx="24">
                    <c:v>2008</c:v>
                  </c:pt>
                </c:lvl>
              </c:multiLvlStrCache>
            </c:multiLvlStrRef>
          </c:cat>
          <c:val>
            <c:numRef>
              <c:f>'AP Histories DATA'!$B$12:$AB$12</c:f>
              <c:numCache>
                <c:ptCount val="27"/>
                <c:pt idx="0">
                  <c:v>18.4</c:v>
                </c:pt>
                <c:pt idx="1">
                  <c:v>14.503176631234165</c:v>
                </c:pt>
                <c:pt idx="2">
                  <c:v>12.194378303037343</c:v>
                </c:pt>
                <c:pt idx="4">
                  <c:v>20.2</c:v>
                </c:pt>
                <c:pt idx="5">
                  <c:v>15.679092208867774</c:v>
                </c:pt>
                <c:pt idx="6">
                  <c:v>14.077255544867018</c:v>
                </c:pt>
                <c:pt idx="8">
                  <c:v>22</c:v>
                </c:pt>
                <c:pt idx="9">
                  <c:v>18.52639346382357</c:v>
                </c:pt>
                <c:pt idx="10">
                  <c:v>13.252662026803423</c:v>
                </c:pt>
                <c:pt idx="12">
                  <c:v>24</c:v>
                </c:pt>
                <c:pt idx="13">
                  <c:v>22.3</c:v>
                </c:pt>
                <c:pt idx="14">
                  <c:v>14.4</c:v>
                </c:pt>
                <c:pt idx="16">
                  <c:v>24.6</c:v>
                </c:pt>
                <c:pt idx="17">
                  <c:v>20.8</c:v>
                </c:pt>
                <c:pt idx="18">
                  <c:v>13.6</c:v>
                </c:pt>
                <c:pt idx="20">
                  <c:v>21.5</c:v>
                </c:pt>
                <c:pt idx="21">
                  <c:v>20.6</c:v>
                </c:pt>
                <c:pt idx="22">
                  <c:v>22.9</c:v>
                </c:pt>
                <c:pt idx="24">
                  <c:v>25.8</c:v>
                </c:pt>
                <c:pt idx="25">
                  <c:v>26.5</c:v>
                </c:pt>
                <c:pt idx="26">
                  <c:v>26.6</c:v>
                </c:pt>
              </c:numCache>
            </c:numRef>
          </c:val>
        </c:ser>
        <c:ser>
          <c:idx val="4"/>
          <c:order val="1"/>
          <c:tx>
            <c:strRef>
              <c:f>'AP Histories DATA'!$A$11</c:f>
              <c:strCache>
                <c:ptCount val="1"/>
                <c:pt idx="0">
                  <c:v>2</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7"/>
              <c:delete val="1"/>
            </c:dLbl>
            <c:dLbl>
              <c:idx val="11"/>
              <c:delete val="1"/>
            </c:dLbl>
            <c:dLbl>
              <c:idx val="15"/>
              <c:delete val="1"/>
            </c:dLbl>
            <c:dLbl>
              <c:idx val="19"/>
              <c:delete val="1"/>
            </c:dLbl>
            <c:numFmt formatCode="General" sourceLinked="1"/>
            <c:txPr>
              <a:bodyPr vert="horz" rot="0" anchor="ctr"/>
              <a:lstStyle/>
              <a:p>
                <a:pPr algn="ctr">
                  <a:defRPr lang="en-US" cap="none" sz="1000" b="1" i="0" u="none" baseline="0"/>
                </a:pPr>
              </a:p>
            </c:txPr>
            <c:showLegendKey val="0"/>
            <c:showVal val="1"/>
            <c:showBubbleSize val="0"/>
            <c:showCatName val="0"/>
            <c:showSerName val="1"/>
            <c:showPercent val="0"/>
            <c:separator>
</c:separator>
          </c:dLbls>
          <c:cat>
            <c:multiLvlStrRef>
              <c:f>'AP Histories DATA'!$B$6:$AB$7</c:f>
              <c:multiLvlStrCache>
                <c:ptCount val="27"/>
                <c:lvl>
                  <c:pt idx="0">
                    <c:v>World</c:v>
                  </c:pt>
                  <c:pt idx="1">
                    <c:v>US</c:v>
                  </c:pt>
                  <c:pt idx="2">
                    <c:v>Europe</c:v>
                  </c:pt>
                  <c:pt idx="3">
                    <c:v>0</c:v>
                  </c:pt>
                  <c:pt idx="4">
                    <c:v>World</c:v>
                  </c:pt>
                  <c:pt idx="5">
                    <c:v>US</c:v>
                  </c:pt>
                  <c:pt idx="6">
                    <c:v>Europe</c:v>
                  </c:pt>
                  <c:pt idx="7">
                    <c:v>0</c:v>
                  </c:pt>
                  <c:pt idx="8">
                    <c:v>World</c:v>
                  </c:pt>
                  <c:pt idx="9">
                    <c:v>US</c:v>
                  </c:pt>
                  <c:pt idx="10">
                    <c:v>Europe</c:v>
                  </c:pt>
                  <c:pt idx="11">
                    <c:v>0</c:v>
                  </c:pt>
                  <c:pt idx="12">
                    <c:v>World</c:v>
                  </c:pt>
                  <c:pt idx="13">
                    <c:v>US</c:v>
                  </c:pt>
                  <c:pt idx="14">
                    <c:v>Europe</c:v>
                  </c:pt>
                  <c:pt idx="15">
                    <c:v>0</c:v>
                  </c:pt>
                  <c:pt idx="16">
                    <c:v>World</c:v>
                  </c:pt>
                  <c:pt idx="17">
                    <c:v>US</c:v>
                  </c:pt>
                  <c:pt idx="18">
                    <c:v>Europe</c:v>
                  </c:pt>
                  <c:pt idx="19">
                    <c:v>0</c:v>
                  </c:pt>
                  <c:pt idx="20">
                    <c:v>World</c:v>
                  </c:pt>
                  <c:pt idx="21">
                    <c:v>US</c:v>
                  </c:pt>
                  <c:pt idx="22">
                    <c:v>Europe</c:v>
                  </c:pt>
                  <c:pt idx="23">
                    <c:v>0</c:v>
                  </c:pt>
                  <c:pt idx="24">
                    <c:v>World</c:v>
                  </c:pt>
                  <c:pt idx="25">
                    <c:v>US</c:v>
                  </c:pt>
                  <c:pt idx="26">
                    <c:v>Europe</c:v>
                  </c:pt>
                </c:lvl>
                <c:lvl>
                  <c:pt idx="0">
                    <c:v>2002</c:v>
                  </c:pt>
                  <c:pt idx="4">
                    <c:v>2003</c:v>
                  </c:pt>
                  <c:pt idx="8">
                    <c:v>2004</c:v>
                  </c:pt>
                  <c:pt idx="12">
                    <c:v>2005</c:v>
                  </c:pt>
                  <c:pt idx="16">
                    <c:v>2006</c:v>
                  </c:pt>
                  <c:pt idx="20">
                    <c:v>2007</c:v>
                  </c:pt>
                  <c:pt idx="24">
                    <c:v>2008</c:v>
                  </c:pt>
                </c:lvl>
              </c:multiLvlStrCache>
            </c:multiLvlStrRef>
          </c:cat>
          <c:val>
            <c:numRef>
              <c:f>'AP Histories DATA'!$B$11:$AB$11</c:f>
              <c:numCache>
                <c:ptCount val="27"/>
                <c:pt idx="0">
                  <c:v>24.5</c:v>
                </c:pt>
                <c:pt idx="1">
                  <c:v>31.77728895269959</c:v>
                </c:pt>
                <c:pt idx="2">
                  <c:v>16.972530344387017</c:v>
                </c:pt>
                <c:pt idx="4">
                  <c:v>23.7</c:v>
                </c:pt>
                <c:pt idx="5">
                  <c:v>32.7265460508696</c:v>
                </c:pt>
                <c:pt idx="6">
                  <c:v>16.65560177218963</c:v>
                </c:pt>
                <c:pt idx="8">
                  <c:v>23.2</c:v>
                </c:pt>
                <c:pt idx="9">
                  <c:v>24.796315032749348</c:v>
                </c:pt>
                <c:pt idx="10">
                  <c:v>17.092548851191754</c:v>
                </c:pt>
                <c:pt idx="12">
                  <c:v>23.4</c:v>
                </c:pt>
                <c:pt idx="13">
                  <c:v>27.3</c:v>
                </c:pt>
                <c:pt idx="14">
                  <c:v>17.2</c:v>
                </c:pt>
                <c:pt idx="16">
                  <c:v>24.4</c:v>
                </c:pt>
                <c:pt idx="17">
                  <c:v>26.1</c:v>
                </c:pt>
                <c:pt idx="18">
                  <c:v>17.4</c:v>
                </c:pt>
                <c:pt idx="20">
                  <c:v>24.3</c:v>
                </c:pt>
                <c:pt idx="21">
                  <c:v>26.2</c:v>
                </c:pt>
                <c:pt idx="22">
                  <c:v>11.2</c:v>
                </c:pt>
                <c:pt idx="24">
                  <c:v>25.7</c:v>
                </c:pt>
                <c:pt idx="25">
                  <c:v>25.4</c:v>
                </c:pt>
                <c:pt idx="26">
                  <c:v>12.1</c:v>
                </c:pt>
              </c:numCache>
            </c:numRef>
          </c:val>
        </c:ser>
        <c:ser>
          <c:idx val="3"/>
          <c:order val="2"/>
          <c:tx>
            <c:strRef>
              <c:f>'AP Histories DATA'!$A$10</c:f>
              <c:strCache>
                <c:ptCount val="1"/>
                <c:pt idx="0">
                  <c:v>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delete val="1"/>
            </c:dLbl>
            <c:dLbl>
              <c:idx val="7"/>
              <c:delete val="1"/>
            </c:dLbl>
            <c:dLbl>
              <c:idx val="11"/>
              <c:delete val="1"/>
            </c:dLbl>
            <c:dLbl>
              <c:idx val="15"/>
              <c:delete val="1"/>
            </c:dLbl>
            <c:dLbl>
              <c:idx val="19"/>
              <c:delete val="1"/>
            </c:dLbl>
            <c:numFmt formatCode="General" sourceLinked="1"/>
            <c:txPr>
              <a:bodyPr vert="horz" rot="0" anchor="ctr"/>
              <a:lstStyle/>
              <a:p>
                <a:pPr algn="ctr">
                  <a:defRPr lang="en-US" cap="none" sz="1000" b="1" i="0" u="none" baseline="0"/>
                </a:pPr>
              </a:p>
            </c:txPr>
            <c:showLegendKey val="0"/>
            <c:showVal val="1"/>
            <c:showBubbleSize val="0"/>
            <c:showCatName val="0"/>
            <c:showSerName val="1"/>
            <c:showPercent val="0"/>
            <c:separator>
</c:separator>
          </c:dLbls>
          <c:cat>
            <c:multiLvlStrRef>
              <c:f>'AP Histories DATA'!$B$6:$AB$7</c:f>
              <c:multiLvlStrCache>
                <c:ptCount val="27"/>
                <c:lvl>
                  <c:pt idx="0">
                    <c:v>World</c:v>
                  </c:pt>
                  <c:pt idx="1">
                    <c:v>US</c:v>
                  </c:pt>
                  <c:pt idx="2">
                    <c:v>Europe</c:v>
                  </c:pt>
                  <c:pt idx="3">
                    <c:v>0</c:v>
                  </c:pt>
                  <c:pt idx="4">
                    <c:v>World</c:v>
                  </c:pt>
                  <c:pt idx="5">
                    <c:v>US</c:v>
                  </c:pt>
                  <c:pt idx="6">
                    <c:v>Europe</c:v>
                  </c:pt>
                  <c:pt idx="7">
                    <c:v>0</c:v>
                  </c:pt>
                  <c:pt idx="8">
                    <c:v>World</c:v>
                  </c:pt>
                  <c:pt idx="9">
                    <c:v>US</c:v>
                  </c:pt>
                  <c:pt idx="10">
                    <c:v>Europe</c:v>
                  </c:pt>
                  <c:pt idx="11">
                    <c:v>0</c:v>
                  </c:pt>
                  <c:pt idx="12">
                    <c:v>World</c:v>
                  </c:pt>
                  <c:pt idx="13">
                    <c:v>US</c:v>
                  </c:pt>
                  <c:pt idx="14">
                    <c:v>Europe</c:v>
                  </c:pt>
                  <c:pt idx="15">
                    <c:v>0</c:v>
                  </c:pt>
                  <c:pt idx="16">
                    <c:v>World</c:v>
                  </c:pt>
                  <c:pt idx="17">
                    <c:v>US</c:v>
                  </c:pt>
                  <c:pt idx="18">
                    <c:v>Europe</c:v>
                  </c:pt>
                  <c:pt idx="19">
                    <c:v>0</c:v>
                  </c:pt>
                  <c:pt idx="20">
                    <c:v>World</c:v>
                  </c:pt>
                  <c:pt idx="21">
                    <c:v>US</c:v>
                  </c:pt>
                  <c:pt idx="22">
                    <c:v>Europe</c:v>
                  </c:pt>
                  <c:pt idx="23">
                    <c:v>0</c:v>
                  </c:pt>
                  <c:pt idx="24">
                    <c:v>World</c:v>
                  </c:pt>
                  <c:pt idx="25">
                    <c:v>US</c:v>
                  </c:pt>
                  <c:pt idx="26">
                    <c:v>Europe</c:v>
                  </c:pt>
                </c:lvl>
                <c:lvl>
                  <c:pt idx="0">
                    <c:v>2002</c:v>
                  </c:pt>
                  <c:pt idx="4">
                    <c:v>2003</c:v>
                  </c:pt>
                  <c:pt idx="8">
                    <c:v>2004</c:v>
                  </c:pt>
                  <c:pt idx="12">
                    <c:v>2005</c:v>
                  </c:pt>
                  <c:pt idx="16">
                    <c:v>2006</c:v>
                  </c:pt>
                  <c:pt idx="20">
                    <c:v>2007</c:v>
                  </c:pt>
                  <c:pt idx="24">
                    <c:v>2008</c:v>
                  </c:pt>
                </c:lvl>
              </c:multiLvlStrCache>
            </c:multiLvlStrRef>
          </c:cat>
          <c:val>
            <c:numRef>
              <c:f>'AP Histories DATA'!$B$10:$AB$10</c:f>
              <c:numCache>
                <c:ptCount val="27"/>
                <c:pt idx="0">
                  <c:v>28.9</c:v>
                </c:pt>
                <c:pt idx="1">
                  <c:v>22.762417840066387</c:v>
                </c:pt>
                <c:pt idx="2">
                  <c:v>38.07276845345258</c:v>
                </c:pt>
                <c:pt idx="4">
                  <c:v>25.9</c:v>
                </c:pt>
                <c:pt idx="5">
                  <c:v>23.47352069847836</c:v>
                </c:pt>
                <c:pt idx="6">
                  <c:v>36.9463601013454</c:v>
                </c:pt>
                <c:pt idx="8">
                  <c:v>27.8</c:v>
                </c:pt>
                <c:pt idx="9">
                  <c:v>25.005134915140776</c:v>
                </c:pt>
                <c:pt idx="10">
                  <c:v>38.23087319531635</c:v>
                </c:pt>
                <c:pt idx="12">
                  <c:v>25.2</c:v>
                </c:pt>
                <c:pt idx="13">
                  <c:v>21.4</c:v>
                </c:pt>
                <c:pt idx="14">
                  <c:v>36.8</c:v>
                </c:pt>
                <c:pt idx="16">
                  <c:v>25.4</c:v>
                </c:pt>
                <c:pt idx="17">
                  <c:v>22.2</c:v>
                </c:pt>
                <c:pt idx="18">
                  <c:v>36.9</c:v>
                </c:pt>
                <c:pt idx="20">
                  <c:v>26.1</c:v>
                </c:pt>
                <c:pt idx="21">
                  <c:v>22.2</c:v>
                </c:pt>
                <c:pt idx="22">
                  <c:v>35.9</c:v>
                </c:pt>
                <c:pt idx="24">
                  <c:v>23.4</c:v>
                </c:pt>
                <c:pt idx="25">
                  <c:v>21.4</c:v>
                </c:pt>
                <c:pt idx="26">
                  <c:v>34.9</c:v>
                </c:pt>
              </c:numCache>
            </c:numRef>
          </c:val>
        </c:ser>
        <c:ser>
          <c:idx val="2"/>
          <c:order val="3"/>
          <c:tx>
            <c:strRef>
              <c:f>'AP Histories DATA'!$A$9</c:f>
              <c:strCache>
                <c:ptCount val="1"/>
                <c:pt idx="0">
                  <c:v>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delete val="1"/>
            </c:dLbl>
            <c:dLbl>
              <c:idx val="7"/>
              <c:delete val="1"/>
            </c:dLbl>
            <c:dLbl>
              <c:idx val="11"/>
              <c:delete val="1"/>
            </c:dLbl>
            <c:dLbl>
              <c:idx val="15"/>
              <c:delete val="1"/>
            </c:dLbl>
            <c:dLbl>
              <c:idx val="19"/>
              <c:delete val="1"/>
            </c:dLbl>
            <c:numFmt formatCode="General" sourceLinked="1"/>
            <c:txPr>
              <a:bodyPr vert="horz" rot="0" anchor="ctr"/>
              <a:lstStyle/>
              <a:p>
                <a:pPr algn="ctr">
                  <a:defRPr lang="en-US" cap="none" sz="1000" b="1" i="0" u="none" baseline="0"/>
                </a:pPr>
              </a:p>
            </c:txPr>
            <c:showLegendKey val="0"/>
            <c:showVal val="1"/>
            <c:showBubbleSize val="0"/>
            <c:showCatName val="0"/>
            <c:showSerName val="1"/>
            <c:showPercent val="0"/>
            <c:separator>
</c:separator>
          </c:dLbls>
          <c:cat>
            <c:multiLvlStrRef>
              <c:f>'AP Histories DATA'!$B$6:$AB$7</c:f>
              <c:multiLvlStrCache>
                <c:ptCount val="27"/>
                <c:lvl>
                  <c:pt idx="0">
                    <c:v>World</c:v>
                  </c:pt>
                  <c:pt idx="1">
                    <c:v>US</c:v>
                  </c:pt>
                  <c:pt idx="2">
                    <c:v>Europe</c:v>
                  </c:pt>
                  <c:pt idx="3">
                    <c:v>0</c:v>
                  </c:pt>
                  <c:pt idx="4">
                    <c:v>World</c:v>
                  </c:pt>
                  <c:pt idx="5">
                    <c:v>US</c:v>
                  </c:pt>
                  <c:pt idx="6">
                    <c:v>Europe</c:v>
                  </c:pt>
                  <c:pt idx="7">
                    <c:v>0</c:v>
                  </c:pt>
                  <c:pt idx="8">
                    <c:v>World</c:v>
                  </c:pt>
                  <c:pt idx="9">
                    <c:v>US</c:v>
                  </c:pt>
                  <c:pt idx="10">
                    <c:v>Europe</c:v>
                  </c:pt>
                  <c:pt idx="11">
                    <c:v>0</c:v>
                  </c:pt>
                  <c:pt idx="12">
                    <c:v>World</c:v>
                  </c:pt>
                  <c:pt idx="13">
                    <c:v>US</c:v>
                  </c:pt>
                  <c:pt idx="14">
                    <c:v>Europe</c:v>
                  </c:pt>
                  <c:pt idx="15">
                    <c:v>0</c:v>
                  </c:pt>
                  <c:pt idx="16">
                    <c:v>World</c:v>
                  </c:pt>
                  <c:pt idx="17">
                    <c:v>US</c:v>
                  </c:pt>
                  <c:pt idx="18">
                    <c:v>Europe</c:v>
                  </c:pt>
                  <c:pt idx="19">
                    <c:v>0</c:v>
                  </c:pt>
                  <c:pt idx="20">
                    <c:v>World</c:v>
                  </c:pt>
                  <c:pt idx="21">
                    <c:v>US</c:v>
                  </c:pt>
                  <c:pt idx="22">
                    <c:v>Europe</c:v>
                  </c:pt>
                  <c:pt idx="23">
                    <c:v>0</c:v>
                  </c:pt>
                  <c:pt idx="24">
                    <c:v>World</c:v>
                  </c:pt>
                  <c:pt idx="25">
                    <c:v>US</c:v>
                  </c:pt>
                  <c:pt idx="26">
                    <c:v>Europe</c:v>
                  </c:pt>
                </c:lvl>
                <c:lvl>
                  <c:pt idx="0">
                    <c:v>2002</c:v>
                  </c:pt>
                  <c:pt idx="4">
                    <c:v>2003</c:v>
                  </c:pt>
                  <c:pt idx="8">
                    <c:v>2004</c:v>
                  </c:pt>
                  <c:pt idx="12">
                    <c:v>2005</c:v>
                  </c:pt>
                  <c:pt idx="16">
                    <c:v>2006</c:v>
                  </c:pt>
                  <c:pt idx="20">
                    <c:v>2007</c:v>
                  </c:pt>
                  <c:pt idx="24">
                    <c:v>2008</c:v>
                  </c:pt>
                </c:lvl>
              </c:multiLvlStrCache>
            </c:multiLvlStrRef>
          </c:cat>
          <c:val>
            <c:numRef>
              <c:f>'AP Histories DATA'!$B$9:$AB$9</c:f>
              <c:numCache>
                <c:ptCount val="27"/>
                <c:pt idx="0">
                  <c:v>17.6</c:v>
                </c:pt>
                <c:pt idx="1">
                  <c:v>19.934842836883167</c:v>
                </c:pt>
                <c:pt idx="2">
                  <c:v>20.420756141471628</c:v>
                </c:pt>
                <c:pt idx="4">
                  <c:v>18.9</c:v>
                </c:pt>
                <c:pt idx="5">
                  <c:v>18.957226853015463</c:v>
                </c:pt>
                <c:pt idx="6">
                  <c:v>20.553606026528648</c:v>
                </c:pt>
                <c:pt idx="8">
                  <c:v>16.1</c:v>
                </c:pt>
                <c:pt idx="9">
                  <c:v>20.906331540550617</c:v>
                </c:pt>
                <c:pt idx="10">
                  <c:v>20.126564690724905</c:v>
                </c:pt>
                <c:pt idx="12">
                  <c:v>17.1</c:v>
                </c:pt>
                <c:pt idx="13">
                  <c:v>19.8</c:v>
                </c:pt>
                <c:pt idx="14">
                  <c:v>19.8</c:v>
                </c:pt>
                <c:pt idx="16">
                  <c:v>15.2</c:v>
                </c:pt>
                <c:pt idx="17">
                  <c:v>19.9</c:v>
                </c:pt>
                <c:pt idx="18">
                  <c:v>20.3</c:v>
                </c:pt>
                <c:pt idx="20">
                  <c:v>16.9</c:v>
                </c:pt>
                <c:pt idx="21">
                  <c:v>19.9</c:v>
                </c:pt>
                <c:pt idx="22">
                  <c:v>18.9</c:v>
                </c:pt>
                <c:pt idx="24">
                  <c:v>16.1</c:v>
                </c:pt>
                <c:pt idx="25">
                  <c:v>18.2</c:v>
                </c:pt>
                <c:pt idx="26">
                  <c:v>17.2</c:v>
                </c:pt>
              </c:numCache>
            </c:numRef>
          </c:val>
        </c:ser>
        <c:ser>
          <c:idx val="1"/>
          <c:order val="4"/>
          <c:tx>
            <c:strRef>
              <c:f>'AP Histories DATA'!$A$8</c:f>
              <c:strCache>
                <c:ptCount val="1"/>
                <c:pt idx="0">
                  <c:v>5</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7"/>
              <c:delete val="1"/>
            </c:dLbl>
            <c:dLbl>
              <c:idx val="11"/>
              <c:delete val="1"/>
            </c:dLbl>
            <c:dLbl>
              <c:idx val="15"/>
              <c:delete val="1"/>
            </c:dLbl>
            <c:dLbl>
              <c:idx val="19"/>
              <c:delete val="1"/>
            </c:dLbl>
            <c:numFmt formatCode="General" sourceLinked="1"/>
            <c:txPr>
              <a:bodyPr vert="horz" rot="0" anchor="ctr"/>
              <a:lstStyle/>
              <a:p>
                <a:pPr algn="ctr">
                  <a:defRPr lang="en-US" cap="none" sz="1000" b="1" i="0" u="none" baseline="0"/>
                </a:pPr>
              </a:p>
            </c:txPr>
            <c:showLegendKey val="0"/>
            <c:showVal val="1"/>
            <c:showBubbleSize val="0"/>
            <c:showCatName val="0"/>
            <c:showSerName val="1"/>
            <c:showPercent val="0"/>
            <c:separator>
</c:separator>
          </c:dLbls>
          <c:cat>
            <c:multiLvlStrRef>
              <c:f>'AP Histories DATA'!$B$6:$AB$7</c:f>
              <c:multiLvlStrCache>
                <c:ptCount val="27"/>
                <c:lvl>
                  <c:pt idx="0">
                    <c:v>World</c:v>
                  </c:pt>
                  <c:pt idx="1">
                    <c:v>US</c:v>
                  </c:pt>
                  <c:pt idx="2">
                    <c:v>Europe</c:v>
                  </c:pt>
                  <c:pt idx="3">
                    <c:v>0</c:v>
                  </c:pt>
                  <c:pt idx="4">
                    <c:v>World</c:v>
                  </c:pt>
                  <c:pt idx="5">
                    <c:v>US</c:v>
                  </c:pt>
                  <c:pt idx="6">
                    <c:v>Europe</c:v>
                  </c:pt>
                  <c:pt idx="7">
                    <c:v>0</c:v>
                  </c:pt>
                  <c:pt idx="8">
                    <c:v>World</c:v>
                  </c:pt>
                  <c:pt idx="9">
                    <c:v>US</c:v>
                  </c:pt>
                  <c:pt idx="10">
                    <c:v>Europe</c:v>
                  </c:pt>
                  <c:pt idx="11">
                    <c:v>0</c:v>
                  </c:pt>
                  <c:pt idx="12">
                    <c:v>World</c:v>
                  </c:pt>
                  <c:pt idx="13">
                    <c:v>US</c:v>
                  </c:pt>
                  <c:pt idx="14">
                    <c:v>Europe</c:v>
                  </c:pt>
                  <c:pt idx="15">
                    <c:v>0</c:v>
                  </c:pt>
                  <c:pt idx="16">
                    <c:v>World</c:v>
                  </c:pt>
                  <c:pt idx="17">
                    <c:v>US</c:v>
                  </c:pt>
                  <c:pt idx="18">
                    <c:v>Europe</c:v>
                  </c:pt>
                  <c:pt idx="19">
                    <c:v>0</c:v>
                  </c:pt>
                  <c:pt idx="20">
                    <c:v>World</c:v>
                  </c:pt>
                  <c:pt idx="21">
                    <c:v>US</c:v>
                  </c:pt>
                  <c:pt idx="22">
                    <c:v>Europe</c:v>
                  </c:pt>
                  <c:pt idx="23">
                    <c:v>0</c:v>
                  </c:pt>
                  <c:pt idx="24">
                    <c:v>World</c:v>
                  </c:pt>
                  <c:pt idx="25">
                    <c:v>US</c:v>
                  </c:pt>
                  <c:pt idx="26">
                    <c:v>Europe</c:v>
                  </c:pt>
                </c:lvl>
                <c:lvl>
                  <c:pt idx="0">
                    <c:v>2002</c:v>
                  </c:pt>
                  <c:pt idx="4">
                    <c:v>2003</c:v>
                  </c:pt>
                  <c:pt idx="8">
                    <c:v>2004</c:v>
                  </c:pt>
                  <c:pt idx="12">
                    <c:v>2005</c:v>
                  </c:pt>
                  <c:pt idx="16">
                    <c:v>2006</c:v>
                  </c:pt>
                  <c:pt idx="20">
                    <c:v>2007</c:v>
                  </c:pt>
                  <c:pt idx="24">
                    <c:v>2008</c:v>
                  </c:pt>
                </c:lvl>
              </c:multiLvlStrCache>
            </c:multiLvlStrRef>
          </c:cat>
          <c:val>
            <c:numRef>
              <c:f>'AP Histories DATA'!$B$8:$AB$8</c:f>
              <c:numCache>
                <c:ptCount val="27"/>
                <c:pt idx="0">
                  <c:v>10.6</c:v>
                </c:pt>
                <c:pt idx="1">
                  <c:v>11.02227373911669</c:v>
                </c:pt>
                <c:pt idx="2">
                  <c:v>12.339566757651431</c:v>
                </c:pt>
                <c:pt idx="4">
                  <c:v>11.4</c:v>
                </c:pt>
                <c:pt idx="5">
                  <c:v>9.163614188768804</c:v>
                </c:pt>
                <c:pt idx="6">
                  <c:v>11.767176555069303</c:v>
                </c:pt>
                <c:pt idx="8">
                  <c:v>10.9</c:v>
                </c:pt>
                <c:pt idx="9">
                  <c:v>10.765825047735692</c:v>
                </c:pt>
                <c:pt idx="10">
                  <c:v>11.297351235963573</c:v>
                </c:pt>
                <c:pt idx="12">
                  <c:v>10.2</c:v>
                </c:pt>
                <c:pt idx="13">
                  <c:v>9.2</c:v>
                </c:pt>
                <c:pt idx="14">
                  <c:v>11.8</c:v>
                </c:pt>
                <c:pt idx="16">
                  <c:v>10.4</c:v>
                </c:pt>
                <c:pt idx="17">
                  <c:v>11</c:v>
                </c:pt>
                <c:pt idx="18">
                  <c:v>12</c:v>
                </c:pt>
                <c:pt idx="20">
                  <c:v>11.2</c:v>
                </c:pt>
                <c:pt idx="21">
                  <c:v>11.1</c:v>
                </c:pt>
                <c:pt idx="22">
                  <c:v>11.1</c:v>
                </c:pt>
                <c:pt idx="24">
                  <c:v>8.9</c:v>
                </c:pt>
                <c:pt idx="25">
                  <c:v>8.5</c:v>
                </c:pt>
                <c:pt idx="26">
                  <c:v>9.2</c:v>
                </c:pt>
              </c:numCache>
            </c:numRef>
          </c:val>
        </c:ser>
        <c:overlap val="100"/>
        <c:gapWidth val="10"/>
        <c:axId val="56924646"/>
        <c:axId val="42559767"/>
      </c:barChart>
      <c:catAx>
        <c:axId val="56924646"/>
        <c:scaling>
          <c:orientation val="minMax"/>
        </c:scaling>
        <c:axPos val="b"/>
        <c:delete val="0"/>
        <c:numFmt formatCode="General" sourceLinked="1"/>
        <c:majorTickMark val="out"/>
        <c:minorTickMark val="none"/>
        <c:tickLblPos val="nextTo"/>
        <c:txPr>
          <a:bodyPr/>
          <a:lstStyle/>
          <a:p>
            <a:pPr>
              <a:defRPr lang="en-US" cap="none" sz="1400" b="1" i="0" u="none" baseline="0"/>
            </a:pPr>
          </a:p>
        </c:txPr>
        <c:crossAx val="42559767"/>
        <c:crosses val="autoZero"/>
        <c:auto val="1"/>
        <c:lblOffset val="100"/>
        <c:noMultiLvlLbl val="0"/>
      </c:catAx>
      <c:valAx>
        <c:axId val="42559767"/>
        <c:scaling>
          <c:orientation val="minMax"/>
        </c:scaling>
        <c:axPos val="l"/>
        <c:majorGridlines>
          <c:spPr>
            <a:ln w="3175">
              <a:solidFill/>
              <a:prstDash val="sysDot"/>
            </a:ln>
          </c:spPr>
        </c:majorGridlines>
        <c:delete val="0"/>
        <c:numFmt formatCode="General" sourceLinked="1"/>
        <c:majorTickMark val="out"/>
        <c:minorTickMark val="none"/>
        <c:tickLblPos val="nextTo"/>
        <c:crossAx val="56924646"/>
        <c:crossesAt val="1"/>
        <c:crossBetween val="between"/>
        <c:dispUnits/>
        <c:majorUnit val="0.1"/>
        <c:minorUnit val="0.05"/>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Average Student Performance on APWH Exam
Multiple Choice vs. Essay Sections
</a:t>
            </a:r>
            <a:r>
              <a:rPr lang="en-US" cap="none" sz="1400" b="1" i="0" u="none" baseline="0"/>
              <a:t>(60 possible in each section)</a:t>
            </a:r>
          </a:p>
        </c:rich>
      </c:tx>
      <c:layout/>
      <c:spPr>
        <a:noFill/>
        <a:ln>
          <a:noFill/>
        </a:ln>
      </c:spPr>
    </c:title>
    <c:plotArea>
      <c:layout>
        <c:manualLayout>
          <c:xMode val="edge"/>
          <c:yMode val="edge"/>
          <c:x val="0.05"/>
          <c:y val="0.26125"/>
          <c:w val="0.93825"/>
          <c:h val="0.72175"/>
        </c:manualLayout>
      </c:layout>
      <c:barChart>
        <c:barDir val="col"/>
        <c:grouping val="stacked"/>
        <c:varyColors val="0"/>
        <c:ser>
          <c:idx val="0"/>
          <c:order val="0"/>
          <c:tx>
            <c:strRef>
              <c:f>'IPR DATA'!$A$7</c:f>
              <c:strCache>
                <c:ptCount val="1"/>
                <c:pt idx="0">
                  <c:v>Multiple Choice Section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pPr>
              </a:p>
            </c:txPr>
            <c:showLegendKey val="0"/>
            <c:showVal val="1"/>
            <c:showBubbleSize val="0"/>
            <c:showCatName val="0"/>
            <c:showSerName val="0"/>
            <c:showPercent val="0"/>
          </c:dLbls>
          <c:cat>
            <c:numRef>
              <c:f>'IPR DATA'!$B$6:$E$6</c:f>
              <c:numCache>
                <c:ptCount val="4"/>
                <c:pt idx="0">
                  <c:v>2005</c:v>
                </c:pt>
                <c:pt idx="1">
                  <c:v>2006</c:v>
                </c:pt>
                <c:pt idx="2">
                  <c:v>2007</c:v>
                </c:pt>
                <c:pt idx="3">
                  <c:v>2008</c:v>
                </c:pt>
              </c:numCache>
            </c:numRef>
          </c:cat>
          <c:val>
            <c:numRef>
              <c:f>'IPR DATA'!$B$7:$E$7</c:f>
              <c:numCache>
                <c:ptCount val="4"/>
                <c:pt idx="0">
                  <c:v>28.8</c:v>
                </c:pt>
                <c:pt idx="1">
                  <c:v>30.1</c:v>
                </c:pt>
                <c:pt idx="2">
                  <c:v>29.5</c:v>
                </c:pt>
                <c:pt idx="3">
                  <c:v>28.8</c:v>
                </c:pt>
              </c:numCache>
            </c:numRef>
          </c:val>
        </c:ser>
        <c:ser>
          <c:idx val="1"/>
          <c:order val="1"/>
          <c:tx>
            <c:strRef>
              <c:f>'IPR DATA'!$A$8</c:f>
              <c:strCache>
                <c:ptCount val="1"/>
                <c:pt idx="0">
                  <c:v>Essay Section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pPr>
              </a:p>
            </c:txPr>
            <c:showLegendKey val="0"/>
            <c:showVal val="1"/>
            <c:showBubbleSize val="0"/>
            <c:showCatName val="0"/>
            <c:showSerName val="0"/>
            <c:showPercent val="0"/>
          </c:dLbls>
          <c:cat>
            <c:numRef>
              <c:f>'IPR DATA'!$B$6:$E$6</c:f>
              <c:numCache>
                <c:ptCount val="4"/>
                <c:pt idx="0">
                  <c:v>2005</c:v>
                </c:pt>
                <c:pt idx="1">
                  <c:v>2006</c:v>
                </c:pt>
                <c:pt idx="2">
                  <c:v>2007</c:v>
                </c:pt>
                <c:pt idx="3">
                  <c:v>2008</c:v>
                </c:pt>
              </c:numCache>
            </c:numRef>
          </c:cat>
          <c:val>
            <c:numRef>
              <c:f>'IPR DATA'!$B$8:$E$8</c:f>
              <c:numCache>
                <c:ptCount val="4"/>
                <c:pt idx="0">
                  <c:v>21.9</c:v>
                </c:pt>
                <c:pt idx="1">
                  <c:v>19.8</c:v>
                </c:pt>
                <c:pt idx="2">
                  <c:v>16.2</c:v>
                </c:pt>
                <c:pt idx="3">
                  <c:v>13</c:v>
                </c:pt>
              </c:numCache>
            </c:numRef>
          </c:val>
        </c:ser>
        <c:overlap val="100"/>
        <c:axId val="47493584"/>
        <c:axId val="24789073"/>
      </c:barChart>
      <c:catAx>
        <c:axId val="47493584"/>
        <c:scaling>
          <c:orientation val="minMax"/>
        </c:scaling>
        <c:axPos val="b"/>
        <c:delete val="0"/>
        <c:numFmt formatCode="General" sourceLinked="1"/>
        <c:majorTickMark val="out"/>
        <c:minorTickMark val="none"/>
        <c:tickLblPos val="nextTo"/>
        <c:txPr>
          <a:bodyPr/>
          <a:lstStyle/>
          <a:p>
            <a:pPr>
              <a:defRPr lang="en-US" cap="none" sz="1600" b="1" i="0" u="none" baseline="0"/>
            </a:pPr>
          </a:p>
        </c:txPr>
        <c:crossAx val="24789073"/>
        <c:crosses val="autoZero"/>
        <c:auto val="1"/>
        <c:lblOffset val="100"/>
        <c:noMultiLvlLbl val="0"/>
      </c:catAx>
      <c:valAx>
        <c:axId val="24789073"/>
        <c:scaling>
          <c:orientation val="minMax"/>
        </c:scaling>
        <c:axPos val="l"/>
        <c:title>
          <c:tx>
            <c:rich>
              <a:bodyPr vert="horz" rot="-5400000" anchor="ctr"/>
              <a:lstStyle/>
              <a:p>
                <a:pPr algn="ctr">
                  <a:defRPr/>
                </a:pPr>
                <a:r>
                  <a:rPr lang="en-US" cap="none" sz="1400" b="1" i="0" u="none" baseline="0"/>
                  <a:t>Actual Points Earned</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7493584"/>
        <c:crossesAt val="1"/>
        <c:crossBetween val="between"/>
        <c:dispUnits/>
      </c:valAx>
      <c:spPr>
        <a:noFill/>
        <a:ln w="12700">
          <a:solidFill>
            <a:srgbClr val="808080"/>
          </a:solidFill>
        </a:ln>
      </c:spPr>
    </c:plotArea>
    <c:legend>
      <c:legendPos val="t"/>
      <c:layout>
        <c:manualLayout>
          <c:xMode val="edge"/>
          <c:yMode val="edge"/>
          <c:x val="0.27875"/>
          <c:y val="0.197"/>
        </c:manualLayout>
      </c:layout>
      <c:overlay val="0"/>
      <c:txPr>
        <a:bodyPr vert="horz" rot="0"/>
        <a:lstStyle/>
        <a:p>
          <a:pPr>
            <a:defRPr lang="en-US" cap="none" sz="1400" b="1"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1st Year College GPA &amp; High School AP Experience</a:t>
            </a:r>
          </a:p>
        </c:rich>
      </c:tx>
      <c:layout/>
      <c:spPr>
        <a:noFill/>
        <a:ln>
          <a:noFill/>
        </a:ln>
      </c:spPr>
    </c:title>
    <c:plotArea>
      <c:layout>
        <c:manualLayout>
          <c:xMode val="edge"/>
          <c:yMode val="edge"/>
          <c:x val="0.00725"/>
          <c:y val="0.16875"/>
          <c:w val="0.978"/>
          <c:h val="0.718"/>
        </c:manualLayout>
      </c:layout>
      <c:barChart>
        <c:barDir val="col"/>
        <c:grouping val="clustered"/>
        <c:varyColors val="0"/>
        <c:ser>
          <c:idx val="0"/>
          <c:order val="0"/>
          <c:tx>
            <c:strRef>
              <c:f>'Why Take AP DATA'!$A$30</c:f>
              <c:strCache>
                <c:ptCount val="1"/>
                <c:pt idx="0">
                  <c:v>Anglo</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1" i="0" u="none" baseline="0"/>
                </a:pPr>
              </a:p>
            </c:txPr>
            <c:dLblPos val="inEnd"/>
            <c:showLegendKey val="0"/>
            <c:showVal val="1"/>
            <c:showBubbleSize val="0"/>
            <c:showCatName val="0"/>
            <c:showSerName val="0"/>
            <c:showPercent val="0"/>
          </c:dLbls>
          <c:val>
            <c:numRef>
              <c:f>'Why Take AP DATA'!$C$30:$E$30</c:f>
              <c:numCache>
                <c:ptCount val="3"/>
                <c:pt idx="0">
                  <c:v>3.11</c:v>
                </c:pt>
                <c:pt idx="1">
                  <c:v>2.72</c:v>
                </c:pt>
                <c:pt idx="2">
                  <c:v>2.35</c:v>
                </c:pt>
              </c:numCache>
            </c:numRef>
          </c:val>
        </c:ser>
        <c:ser>
          <c:idx val="1"/>
          <c:order val="1"/>
          <c:tx>
            <c:strRef>
              <c:f>'Why Take AP DATA'!$A$31</c:f>
              <c:strCache>
                <c:ptCount val="1"/>
                <c:pt idx="0">
                  <c:v>Hispanic</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1" i="0" u="none" baseline="0"/>
                </a:pPr>
              </a:p>
            </c:txPr>
            <c:dLblPos val="inEnd"/>
            <c:showLegendKey val="0"/>
            <c:showVal val="1"/>
            <c:showBubbleSize val="0"/>
            <c:showCatName val="0"/>
            <c:showSerName val="0"/>
            <c:showPercent val="0"/>
          </c:dLbls>
          <c:val>
            <c:numRef>
              <c:f>'Why Take AP DATA'!$C$31:$E$31</c:f>
              <c:numCache>
                <c:ptCount val="3"/>
                <c:pt idx="0">
                  <c:v>2.87</c:v>
                </c:pt>
                <c:pt idx="1">
                  <c:v>2.42</c:v>
                </c:pt>
                <c:pt idx="2">
                  <c:v>2.03</c:v>
                </c:pt>
              </c:numCache>
            </c:numRef>
          </c:val>
        </c:ser>
        <c:ser>
          <c:idx val="2"/>
          <c:order val="2"/>
          <c:tx>
            <c:strRef>
              <c:f>'Why Take AP DATA'!$A$32</c:f>
              <c:strCache>
                <c:ptCount val="1"/>
                <c:pt idx="0">
                  <c:v>African American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1" i="0" u="none" baseline="0"/>
                </a:pPr>
              </a:p>
            </c:txPr>
            <c:dLblPos val="inEnd"/>
            <c:showLegendKey val="0"/>
            <c:showVal val="1"/>
            <c:showBubbleSize val="0"/>
            <c:showCatName val="0"/>
            <c:showSerName val="0"/>
            <c:showPercent val="0"/>
          </c:dLbls>
          <c:val>
            <c:numRef>
              <c:f>'Why Take AP DATA'!$C$32:$E$32</c:f>
              <c:numCache>
                <c:ptCount val="3"/>
                <c:pt idx="0">
                  <c:v>2.81</c:v>
                </c:pt>
                <c:pt idx="1">
                  <c:v>2.47</c:v>
                </c:pt>
                <c:pt idx="2">
                  <c:v>1.93</c:v>
                </c:pt>
              </c:numCache>
            </c:numRef>
          </c:val>
        </c:ser>
        <c:ser>
          <c:idx val="3"/>
          <c:order val="3"/>
          <c:tx>
            <c:strRef>
              <c:f>'Why Take AP DATA'!$A$33</c:f>
              <c:strCache>
                <c:ptCount val="1"/>
                <c:pt idx="0">
                  <c:v>Low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1" i="0" u="none" baseline="0"/>
                </a:pPr>
              </a:p>
            </c:txPr>
            <c:dLblPos val="inEnd"/>
            <c:showLegendKey val="0"/>
            <c:showVal val="1"/>
            <c:showBubbleSize val="0"/>
            <c:showCatName val="0"/>
            <c:showSerName val="0"/>
            <c:showPercent val="0"/>
          </c:dLbls>
          <c:val>
            <c:numRef>
              <c:f>'Why Take AP DATA'!$C$33:$E$33</c:f>
              <c:numCache>
                <c:ptCount val="3"/>
                <c:pt idx="0">
                  <c:v>2.95</c:v>
                </c:pt>
                <c:pt idx="1">
                  <c:v>2.45</c:v>
                </c:pt>
                <c:pt idx="2">
                  <c:v>2.01</c:v>
                </c:pt>
              </c:numCache>
            </c:numRef>
          </c:val>
        </c:ser>
        <c:axId val="55833150"/>
        <c:axId val="32736303"/>
      </c:barChart>
      <c:catAx>
        <c:axId val="55833150"/>
        <c:scaling>
          <c:orientation val="minMax"/>
        </c:scaling>
        <c:axPos val="b"/>
        <c:delete val="1"/>
        <c:majorTickMark val="out"/>
        <c:minorTickMark val="none"/>
        <c:tickLblPos val="nextTo"/>
        <c:txPr>
          <a:bodyPr/>
          <a:lstStyle/>
          <a:p>
            <a:pPr>
              <a:defRPr lang="en-US" cap="none" sz="1075" b="1" i="0" u="none" baseline="0"/>
            </a:pPr>
          </a:p>
        </c:txPr>
        <c:crossAx val="32736303"/>
        <c:crossesAt val="0"/>
        <c:auto val="1"/>
        <c:lblOffset val="100"/>
        <c:noMultiLvlLbl val="0"/>
      </c:catAx>
      <c:valAx>
        <c:axId val="32736303"/>
        <c:scaling>
          <c:orientation val="minMax"/>
          <c:max val="3.25"/>
          <c:min val="0"/>
        </c:scaling>
        <c:axPos val="l"/>
        <c:majorGridlines>
          <c:spPr>
            <a:ln w="3175">
              <a:solidFill/>
              <a:prstDash val="sysDot"/>
            </a:ln>
          </c:spPr>
        </c:majorGridlines>
        <c:delete val="0"/>
        <c:numFmt formatCode="General" sourceLinked="1"/>
        <c:majorTickMark val="out"/>
        <c:minorTickMark val="none"/>
        <c:tickLblPos val="nextTo"/>
        <c:crossAx val="55833150"/>
        <c:crossesAt val="1"/>
        <c:crossBetween val="between"/>
        <c:dispUnits/>
        <c:majorUnit val="0.25"/>
        <c:minorUnit val="0.04"/>
      </c:valAx>
      <c:spPr>
        <a:noFill/>
        <a:ln w="12700">
          <a:solidFill>
            <a:srgbClr val="808080"/>
          </a:solidFill>
        </a:ln>
      </c:spPr>
    </c:plotArea>
    <c:legend>
      <c:legendPos val="t"/>
      <c:layout>
        <c:manualLayout>
          <c:xMode val="edge"/>
          <c:yMode val="edge"/>
          <c:x val="0.22075"/>
          <c:y val="0.10225"/>
        </c:manualLayout>
      </c:layout>
      <c:overlay val="0"/>
      <c:txPr>
        <a:bodyPr vert="horz" rot="0"/>
        <a:lstStyle/>
        <a:p>
          <a:pPr>
            <a:defRPr lang="en-US" cap="none" sz="14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Why Take AP?</a:t>
            </a:r>
          </a:p>
        </c:rich>
      </c:tx>
      <c:layout/>
      <c:spPr>
        <a:noFill/>
        <a:ln>
          <a:noFill/>
        </a:ln>
      </c:spPr>
    </c:title>
    <c:plotArea>
      <c:layout>
        <c:manualLayout>
          <c:xMode val="edge"/>
          <c:yMode val="edge"/>
          <c:x val="0.011"/>
          <c:y val="0.17175"/>
          <c:w val="0.978"/>
          <c:h val="0.66325"/>
        </c:manualLayout>
      </c:layout>
      <c:barChart>
        <c:barDir val="col"/>
        <c:grouping val="clustered"/>
        <c:varyColors val="0"/>
        <c:ser>
          <c:idx val="0"/>
          <c:order val="0"/>
          <c:tx>
            <c:strRef>
              <c:f>'Why Take AP DATA'!$A$14</c:f>
              <c:strCache>
                <c:ptCount val="1"/>
                <c:pt idx="0">
                  <c:v>Anglo</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pPr>
              </a:p>
            </c:txPr>
            <c:dLblPos val="inEnd"/>
            <c:showLegendKey val="0"/>
            <c:showVal val="1"/>
            <c:showBubbleSize val="0"/>
            <c:showCatName val="0"/>
            <c:showSerName val="0"/>
            <c:showPercent val="0"/>
          </c:dLbls>
          <c:val>
            <c:numRef>
              <c:f>'Why Take AP DATA'!$C$14:$E$14</c:f>
              <c:numCache>
                <c:ptCount val="3"/>
                <c:pt idx="0">
                  <c:v>0.57</c:v>
                </c:pt>
                <c:pt idx="1">
                  <c:v>0.43</c:v>
                </c:pt>
                <c:pt idx="2">
                  <c:v>0.22</c:v>
                </c:pt>
              </c:numCache>
            </c:numRef>
          </c:val>
        </c:ser>
        <c:ser>
          <c:idx val="1"/>
          <c:order val="1"/>
          <c:tx>
            <c:strRef>
              <c:f>'Why Take AP DATA'!$A$15</c:f>
              <c:strCache>
                <c:ptCount val="1"/>
                <c:pt idx="0">
                  <c:v>Hispanic</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pPr>
              </a:p>
            </c:txPr>
            <c:dLblPos val="inEnd"/>
            <c:showLegendKey val="0"/>
            <c:showVal val="1"/>
            <c:showBubbleSize val="0"/>
            <c:showCatName val="0"/>
            <c:showSerName val="0"/>
            <c:showPercent val="0"/>
          </c:dLbls>
          <c:val>
            <c:numRef>
              <c:f>'Why Take AP DATA'!$C$15:$E$15</c:f>
              <c:numCache>
                <c:ptCount val="3"/>
                <c:pt idx="0">
                  <c:v>0.47</c:v>
                </c:pt>
                <c:pt idx="1">
                  <c:v>0.26</c:v>
                </c:pt>
                <c:pt idx="2">
                  <c:v>0.08</c:v>
                </c:pt>
              </c:numCache>
            </c:numRef>
          </c:val>
        </c:ser>
        <c:ser>
          <c:idx val="2"/>
          <c:order val="2"/>
          <c:tx>
            <c:strRef>
              <c:f>'Why Take AP DATA'!$A$16</c:f>
              <c:strCache>
                <c:ptCount val="1"/>
                <c:pt idx="0">
                  <c:v>African American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pPr>
              </a:p>
            </c:txPr>
            <c:dLblPos val="inEnd"/>
            <c:showLegendKey val="0"/>
            <c:showVal val="1"/>
            <c:showBubbleSize val="0"/>
            <c:showCatName val="0"/>
            <c:showSerName val="0"/>
            <c:showPercent val="0"/>
          </c:dLbls>
          <c:val>
            <c:numRef>
              <c:f>'Why Take AP DATA'!$C$16:$E$16</c:f>
              <c:numCache>
                <c:ptCount val="3"/>
                <c:pt idx="0">
                  <c:v>0.42</c:v>
                </c:pt>
                <c:pt idx="1">
                  <c:v>0.36</c:v>
                </c:pt>
                <c:pt idx="2">
                  <c:v>0.11</c:v>
                </c:pt>
              </c:numCache>
            </c:numRef>
          </c:val>
        </c:ser>
        <c:ser>
          <c:idx val="3"/>
          <c:order val="3"/>
          <c:tx>
            <c:strRef>
              <c:f>'Why Take AP DATA'!$A$17</c:f>
              <c:strCache>
                <c:ptCount val="1"/>
                <c:pt idx="0">
                  <c:v>Low Income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dLbls>
            <c:dLbl>
              <c:idx val="0"/>
              <c:txPr>
                <a:bodyPr vert="horz" rot="0" anchor="ctr"/>
                <a:lstStyle/>
                <a:p>
                  <a:pPr algn="ctr">
                    <a:defRPr lang="en-US" cap="none" sz="10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pPr>
              </a:p>
            </c:txPr>
            <c:dLblPos val="inEnd"/>
            <c:showLegendKey val="0"/>
            <c:showVal val="1"/>
            <c:showBubbleSize val="0"/>
            <c:showCatName val="0"/>
            <c:showSerName val="0"/>
            <c:showPercent val="0"/>
          </c:dLbls>
          <c:val>
            <c:numRef>
              <c:f>'Why Take AP DATA'!$C$17:$E$17</c:f>
              <c:numCache>
                <c:ptCount val="3"/>
                <c:pt idx="0">
                  <c:v>0.4</c:v>
                </c:pt>
                <c:pt idx="1">
                  <c:v>0.24</c:v>
                </c:pt>
                <c:pt idx="2">
                  <c:v>0.07</c:v>
                </c:pt>
              </c:numCache>
            </c:numRef>
          </c:val>
        </c:ser>
        <c:ser>
          <c:idx val="4"/>
          <c:order val="4"/>
          <c:tx>
            <c:strRef>
              <c:f>'Why Take AP DATA'!$A$18</c:f>
              <c:strCache>
                <c:ptCount val="1"/>
                <c:pt idx="0">
                  <c:v>Total</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pPr>
              </a:p>
            </c:txPr>
            <c:dLblPos val="inEnd"/>
            <c:showLegendKey val="0"/>
            <c:showVal val="1"/>
            <c:showBubbleSize val="0"/>
            <c:showCatName val="0"/>
            <c:showSerName val="0"/>
            <c:showPercent val="0"/>
          </c:dLbls>
          <c:val>
            <c:numRef>
              <c:f>'Why Take AP DATA'!$C$18:$E$18</c:f>
              <c:numCache>
                <c:ptCount val="3"/>
                <c:pt idx="0">
                  <c:v>0.57</c:v>
                </c:pt>
                <c:pt idx="1">
                  <c:v>0.37</c:v>
                </c:pt>
                <c:pt idx="2">
                  <c:v>0.17</c:v>
                </c:pt>
              </c:numCache>
            </c:numRef>
          </c:val>
        </c:ser>
        <c:axId val="26191272"/>
        <c:axId val="34394857"/>
      </c:barChart>
      <c:catAx>
        <c:axId val="26191272"/>
        <c:scaling>
          <c:orientation val="minMax"/>
        </c:scaling>
        <c:axPos val="b"/>
        <c:title>
          <c:tx>
            <c:rich>
              <a:bodyPr vert="horz" rot="0" anchor="ctr"/>
              <a:lstStyle/>
              <a:p>
                <a:pPr algn="ctr">
                  <a:defRPr/>
                </a:pPr>
                <a:r>
                  <a:rPr lang="en-US" cap="none" sz="1325" b="1" i="0" u="none" baseline="0"/>
                  <a:t>% of Texas Students Receiving Bachelor's Degrees
from Texas College/Univ. within 5 years of HS Graduation</a:t>
                </a:r>
              </a:p>
            </c:rich>
          </c:tx>
          <c:layout>
            <c:manualLayout>
              <c:xMode val="factor"/>
              <c:yMode val="factor"/>
              <c:x val="-0.02825"/>
              <c:y val="-0.00075"/>
            </c:manualLayout>
          </c:layout>
          <c:overlay val="0"/>
          <c:spPr>
            <a:noFill/>
            <a:ln>
              <a:noFill/>
            </a:ln>
          </c:spPr>
        </c:title>
        <c:delete val="1"/>
        <c:majorTickMark val="out"/>
        <c:minorTickMark val="none"/>
        <c:tickLblPos val="nextTo"/>
        <c:txPr>
          <a:bodyPr/>
          <a:lstStyle/>
          <a:p>
            <a:pPr>
              <a:defRPr lang="en-US" cap="none" sz="1100" b="1" i="0" u="none" baseline="0"/>
            </a:pPr>
          </a:p>
        </c:txPr>
        <c:crossAx val="34394857"/>
        <c:crosses val="autoZero"/>
        <c:auto val="1"/>
        <c:lblOffset val="100"/>
        <c:noMultiLvlLbl val="0"/>
      </c:catAx>
      <c:valAx>
        <c:axId val="34394857"/>
        <c:scaling>
          <c:orientation val="minMax"/>
          <c:max val="0.6"/>
        </c:scaling>
        <c:axPos val="l"/>
        <c:majorGridlines>
          <c:spPr>
            <a:ln w="3175">
              <a:solidFill/>
              <a:prstDash val="sysDot"/>
            </a:ln>
          </c:spPr>
        </c:majorGridlines>
        <c:delete val="0"/>
        <c:numFmt formatCode="General" sourceLinked="1"/>
        <c:majorTickMark val="out"/>
        <c:minorTickMark val="none"/>
        <c:tickLblPos val="nextTo"/>
        <c:crossAx val="26191272"/>
        <c:crossesAt val="1"/>
        <c:crossBetween val="between"/>
        <c:dispUnits/>
      </c:valAx>
      <c:spPr>
        <a:noFill/>
        <a:ln w="12700">
          <a:solidFill>
            <a:srgbClr val="808080"/>
          </a:solidFill>
        </a:ln>
      </c:spPr>
    </c:plotArea>
    <c:legend>
      <c:legendPos val="t"/>
      <c:layout>
        <c:manualLayout>
          <c:xMode val="edge"/>
          <c:yMode val="edge"/>
          <c:x val="0.1705"/>
          <c:y val="0.12275"/>
        </c:manualLayout>
      </c:layout>
      <c:overlay val="0"/>
      <c:txPr>
        <a:bodyPr vert="horz" rot="0"/>
        <a:lstStyle/>
        <a:p>
          <a:pPr>
            <a:defRPr lang="en-US" cap="none" sz="14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2007 AP World History Examinees by Race &amp; Ethnicity</a:t>
            </a:r>
          </a:p>
        </c:rich>
      </c:tx>
      <c:layout/>
      <c:spPr>
        <a:noFill/>
        <a:ln>
          <a:noFill/>
        </a:ln>
      </c:spPr>
    </c:title>
    <c:plotArea>
      <c:layout/>
      <c:barChart>
        <c:barDir val="col"/>
        <c:grouping val="clustered"/>
        <c:varyColors val="0"/>
        <c:ser>
          <c:idx val="0"/>
          <c:order val="0"/>
          <c:tx>
            <c:strRef>
              <c:f>'Why Take AP DATA'!$B$53</c:f>
              <c:strCache>
                <c:ptCount val="1"/>
                <c:pt idx="0">
                  <c:v>AP World Examinees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pPr>
              </a:p>
            </c:txPr>
            <c:showLegendKey val="0"/>
            <c:showVal val="1"/>
            <c:showBubbleSize val="0"/>
            <c:showCatName val="0"/>
            <c:showSerName val="0"/>
            <c:showPercent val="0"/>
          </c:dLbls>
          <c:cat>
            <c:strRef>
              <c:f>'Why Take AP DATA'!$A$54:$A$58</c:f>
              <c:strCache>
                <c:ptCount val="5"/>
                <c:pt idx="0">
                  <c:v>Black or African American</c:v>
                </c:pt>
                <c:pt idx="1">
                  <c:v>Asian</c:v>
                </c:pt>
                <c:pt idx="2">
                  <c:v>Hispanic or Latino</c:v>
                </c:pt>
                <c:pt idx="3">
                  <c:v>American Indian or Alaska Native</c:v>
                </c:pt>
                <c:pt idx="4">
                  <c:v>White</c:v>
                </c:pt>
              </c:strCache>
            </c:strRef>
          </c:cat>
          <c:val>
            <c:numRef>
              <c:f>'Why Take AP DATA'!$B$54:$B$58</c:f>
              <c:numCache>
                <c:ptCount val="5"/>
                <c:pt idx="0">
                  <c:v>7.8</c:v>
                </c:pt>
                <c:pt idx="1">
                  <c:v>13.6</c:v>
                </c:pt>
                <c:pt idx="2">
                  <c:v>13.8</c:v>
                </c:pt>
                <c:pt idx="3">
                  <c:v>0.5</c:v>
                </c:pt>
                <c:pt idx="4">
                  <c:v>57.3</c:v>
                </c:pt>
              </c:numCache>
            </c:numRef>
          </c:val>
        </c:ser>
        <c:ser>
          <c:idx val="1"/>
          <c:order val="1"/>
          <c:tx>
            <c:strRef>
              <c:f>'Why Take AP DATA'!$C$53</c:f>
              <c:strCache>
                <c:ptCount val="1"/>
                <c:pt idx="0">
                  <c:v>Total AP Examinees</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pPr>
              </a:p>
            </c:txPr>
            <c:showLegendKey val="0"/>
            <c:showVal val="1"/>
            <c:showBubbleSize val="0"/>
            <c:showCatName val="0"/>
            <c:showSerName val="0"/>
            <c:showPercent val="0"/>
          </c:dLbls>
          <c:cat>
            <c:strRef>
              <c:f>'Why Take AP DATA'!$A$54:$A$58</c:f>
              <c:strCache>
                <c:ptCount val="5"/>
                <c:pt idx="0">
                  <c:v>Black or African American</c:v>
                </c:pt>
                <c:pt idx="1">
                  <c:v>Asian</c:v>
                </c:pt>
                <c:pt idx="2">
                  <c:v>Hispanic or Latino</c:v>
                </c:pt>
                <c:pt idx="3">
                  <c:v>American Indian or Alaska Native</c:v>
                </c:pt>
                <c:pt idx="4">
                  <c:v>White</c:v>
                </c:pt>
              </c:strCache>
            </c:strRef>
          </c:cat>
          <c:val>
            <c:numRef>
              <c:f>'Why Take AP DATA'!$C$54:$C$58</c:f>
              <c:numCache>
                <c:ptCount val="5"/>
                <c:pt idx="0">
                  <c:v>7.4</c:v>
                </c:pt>
                <c:pt idx="1">
                  <c:v>10.4</c:v>
                </c:pt>
                <c:pt idx="2">
                  <c:v>14</c:v>
                </c:pt>
                <c:pt idx="3">
                  <c:v>0.6</c:v>
                </c:pt>
                <c:pt idx="4">
                  <c:v>61.7</c:v>
                </c:pt>
              </c:numCache>
            </c:numRef>
          </c:val>
        </c:ser>
        <c:ser>
          <c:idx val="2"/>
          <c:order val="2"/>
          <c:tx>
            <c:strRef>
              <c:f>'Why Take AP DATA'!$D$53</c:f>
              <c:strCache>
                <c:ptCount val="1"/>
                <c:pt idx="0">
                  <c:v>Public High School Graduates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pPr>
              </a:p>
            </c:txPr>
            <c:showLegendKey val="0"/>
            <c:showVal val="1"/>
            <c:showBubbleSize val="0"/>
            <c:showCatName val="0"/>
            <c:showSerName val="0"/>
            <c:showPercent val="0"/>
          </c:dLbls>
          <c:cat>
            <c:strRef>
              <c:f>'Why Take AP DATA'!$A$54:$A$58</c:f>
              <c:strCache>
                <c:ptCount val="5"/>
                <c:pt idx="0">
                  <c:v>Black or African American</c:v>
                </c:pt>
                <c:pt idx="1">
                  <c:v>Asian</c:v>
                </c:pt>
                <c:pt idx="2">
                  <c:v>Hispanic or Latino</c:v>
                </c:pt>
                <c:pt idx="3">
                  <c:v>American Indian or Alaska Native</c:v>
                </c:pt>
                <c:pt idx="4">
                  <c:v>White</c:v>
                </c:pt>
              </c:strCache>
            </c:strRef>
          </c:cat>
          <c:val>
            <c:numRef>
              <c:f>'Why Take AP DATA'!$D$54:$D$58</c:f>
              <c:numCache>
                <c:ptCount val="5"/>
                <c:pt idx="0">
                  <c:v>14</c:v>
                </c:pt>
                <c:pt idx="1">
                  <c:v>5.5</c:v>
                </c:pt>
                <c:pt idx="2">
                  <c:v>14.6</c:v>
                </c:pt>
                <c:pt idx="3">
                  <c:v>1.1</c:v>
                </c:pt>
                <c:pt idx="4">
                  <c:v>64</c:v>
                </c:pt>
              </c:numCache>
            </c:numRef>
          </c:val>
        </c:ser>
        <c:axId val="41118258"/>
        <c:axId val="34520003"/>
      </c:barChart>
      <c:catAx>
        <c:axId val="41118258"/>
        <c:scaling>
          <c:orientation val="minMax"/>
        </c:scaling>
        <c:axPos val="b"/>
        <c:delete val="0"/>
        <c:numFmt formatCode="General" sourceLinked="1"/>
        <c:majorTickMark val="out"/>
        <c:minorTickMark val="none"/>
        <c:tickLblPos val="nextTo"/>
        <c:txPr>
          <a:bodyPr/>
          <a:lstStyle/>
          <a:p>
            <a:pPr>
              <a:defRPr lang="en-US" cap="none" sz="1400" b="1" i="0" u="none" baseline="0"/>
            </a:pPr>
          </a:p>
        </c:txPr>
        <c:crossAx val="34520003"/>
        <c:crosses val="autoZero"/>
        <c:auto val="1"/>
        <c:lblOffset val="100"/>
        <c:noMultiLvlLbl val="0"/>
      </c:catAx>
      <c:valAx>
        <c:axId val="34520003"/>
        <c:scaling>
          <c:orientation val="minMax"/>
          <c:max val="70"/>
          <c:min val="0"/>
        </c:scaling>
        <c:axPos val="l"/>
        <c:title>
          <c:tx>
            <c:rich>
              <a:bodyPr vert="horz" rot="-5400000" anchor="ctr"/>
              <a:lstStyle/>
              <a:p>
                <a:pPr algn="ctr">
                  <a:defRPr/>
                </a:pPr>
                <a:r>
                  <a:rPr lang="en-US" cap="none" sz="1400" b="1" i="0" u="none" baseline="0"/>
                  <a:t>Precentage of Examinees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41118258"/>
        <c:crossesAt val="1"/>
        <c:crossBetween val="between"/>
        <c:dispUnits/>
      </c:valAx>
      <c:spPr>
        <a:noFill/>
        <a:ln w="12700">
          <a:solidFill>
            <a:srgbClr val="808080"/>
          </a:solidFill>
        </a:ln>
      </c:spPr>
    </c:plotArea>
    <c:legend>
      <c:legendPos val="t"/>
      <c:layout/>
      <c:overlay val="0"/>
      <c:txPr>
        <a:bodyPr vert="horz" rot="0"/>
        <a:lstStyle/>
        <a:p>
          <a:pPr>
            <a:defRPr lang="en-US" cap="none" sz="1400" b="1"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Growth of AP World History, 2002-2008</a:t>
            </a:r>
          </a:p>
        </c:rich>
      </c:tx>
      <c:layout/>
      <c:spPr>
        <a:noFill/>
        <a:ln>
          <a:noFill/>
        </a:ln>
      </c:spPr>
    </c:title>
    <c:plotArea>
      <c:layout>
        <c:manualLayout>
          <c:xMode val="edge"/>
          <c:yMode val="edge"/>
          <c:x val="0.011"/>
          <c:y val="0.0985"/>
          <c:w val="0.978"/>
          <c:h val="0.86175"/>
        </c:manualLayout>
      </c:layout>
      <c:barChart>
        <c:barDir val="col"/>
        <c:grouping val="clustered"/>
        <c:varyColors val="0"/>
        <c:ser>
          <c:idx val="1"/>
          <c:order val="0"/>
          <c:tx>
            <c:strRef>
              <c:f>'Score Distrib History DATA'!$A$21</c:f>
              <c:strCache>
                <c:ptCount val="1"/>
                <c:pt idx="0">
                  <c:v>Number of Students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1200" b="1" i="0" u="none" baseline="0"/>
                      <a:t>34,286
+13,331</a:t>
                    </a:r>
                  </a:p>
                </c:rich>
              </c:tx>
              <c:numFmt formatCode="General" sourceLinked="1"/>
              <c:dLblPos val="inEnd"/>
              <c:showLegendKey val="0"/>
              <c:showVal val="1"/>
              <c:showBubbleSize val="0"/>
              <c:showCatName val="0"/>
              <c:showSerName val="0"/>
              <c:showPercent val="0"/>
            </c:dLbl>
            <c:dLbl>
              <c:idx val="2"/>
              <c:tx>
                <c:rich>
                  <a:bodyPr vert="horz" rot="0" anchor="ctr"/>
                  <a:lstStyle/>
                  <a:p>
                    <a:pPr algn="ctr">
                      <a:defRPr/>
                    </a:pPr>
                    <a:r>
                      <a:rPr lang="en-US" cap="none" sz="1200" b="1" i="0" u="none" baseline="0"/>
                      <a:t>47,558
+13,272</a:t>
                    </a:r>
                  </a:p>
                </c:rich>
              </c:tx>
              <c:numFmt formatCode="General" sourceLinked="1"/>
              <c:dLblPos val="inEnd"/>
              <c:showLegendKey val="0"/>
              <c:showVal val="1"/>
              <c:showBubbleSize val="0"/>
              <c:showCatName val="0"/>
              <c:showSerName val="0"/>
              <c:showPercent val="0"/>
            </c:dLbl>
            <c:dLbl>
              <c:idx val="3"/>
              <c:tx>
                <c:rich>
                  <a:bodyPr vert="horz" rot="0" anchor="ctr"/>
                  <a:lstStyle/>
                  <a:p>
                    <a:pPr algn="ctr">
                      <a:defRPr/>
                    </a:pPr>
                    <a:r>
                      <a:rPr lang="en-US" cap="none" sz="1200" b="1" i="0" u="none" baseline="0"/>
                      <a:t>64,207
+16,649</a:t>
                    </a:r>
                  </a:p>
                </c:rich>
              </c:tx>
              <c:numFmt formatCode="General" sourceLinked="1"/>
              <c:dLblPos val="inEnd"/>
              <c:showLegendKey val="0"/>
              <c:showVal val="1"/>
              <c:showBubbleSize val="0"/>
              <c:showCatName val="0"/>
              <c:showSerName val="0"/>
              <c:showPercent val="0"/>
            </c:dLbl>
            <c:dLbl>
              <c:idx val="4"/>
              <c:tx>
                <c:rich>
                  <a:bodyPr vert="horz" rot="0" anchor="ctr"/>
                  <a:lstStyle/>
                  <a:p>
                    <a:pPr algn="ctr">
                      <a:defRPr/>
                    </a:pPr>
                    <a:r>
                      <a:rPr lang="en-US" cap="none" sz="1200" b="1" i="0" u="none" baseline="0"/>
                      <a:t>84,143
+19,936</a:t>
                    </a:r>
                  </a:p>
                </c:rich>
              </c:tx>
              <c:numFmt formatCode="General" sourceLinked="1"/>
              <c:dLblPos val="inEnd"/>
              <c:showLegendKey val="0"/>
              <c:showVal val="1"/>
              <c:showBubbleSize val="0"/>
              <c:showCatName val="0"/>
              <c:showSerName val="0"/>
              <c:showPercent val="0"/>
            </c:dLbl>
            <c:dLbl>
              <c:idx val="5"/>
              <c:tx>
                <c:rich>
                  <a:bodyPr vert="horz" rot="0" anchor="ctr"/>
                  <a:lstStyle/>
                  <a:p>
                    <a:pPr algn="ctr">
                      <a:defRPr/>
                    </a:pPr>
                    <a:r>
                      <a:rPr lang="en-US" cap="none" sz="1200" b="1" i="0" u="none" baseline="0"/>
                      <a:t>101,975
+17,832</a:t>
                    </a:r>
                  </a:p>
                </c:rich>
              </c:tx>
              <c:numFmt formatCode="General" sourceLinked="1"/>
              <c:dLblPos val="inEnd"/>
              <c:showLegendKey val="0"/>
              <c:showVal val="1"/>
              <c:showBubbleSize val="0"/>
              <c:showCatName val="0"/>
              <c:showSerName val="0"/>
              <c:showPercent val="0"/>
            </c:dLbl>
            <c:dLbl>
              <c:idx val="6"/>
              <c:tx>
                <c:rich>
                  <a:bodyPr vert="horz" rot="0" anchor="ctr"/>
                  <a:lstStyle/>
                  <a:p>
                    <a:pPr algn="ctr">
                      <a:defRPr/>
                    </a:pPr>
                    <a:r>
                      <a:rPr lang="en-US" cap="none" sz="1200" b="1" i="0" u="none" baseline="0"/>
                      <a:t>124,638
+22,663</a:t>
                    </a:r>
                  </a:p>
                </c:rich>
              </c:tx>
              <c:numFmt formatCode="General" sourceLinked="1"/>
              <c:dLblPos val="inEnd"/>
              <c:showLegendKey val="0"/>
              <c:showVal val="1"/>
              <c:showBubbleSize val="0"/>
              <c:showCatName val="0"/>
              <c:showSerName val="0"/>
              <c:showPercent val="0"/>
            </c:dLbl>
            <c:numFmt formatCode="General" sourceLinked="1"/>
            <c:txPr>
              <a:bodyPr vert="horz" rot="0" anchor="ctr"/>
              <a:lstStyle/>
              <a:p>
                <a:pPr algn="ctr">
                  <a:defRPr lang="en-US" cap="none" sz="1200" b="1" i="0" u="none" baseline="0"/>
                </a:pPr>
              </a:p>
            </c:txPr>
            <c:dLblPos val="inEnd"/>
            <c:showLegendKey val="0"/>
            <c:showVal val="1"/>
            <c:showBubbleSize val="0"/>
            <c:showCatName val="0"/>
            <c:showSerName val="0"/>
            <c:showPercent val="0"/>
          </c:dLbls>
          <c:cat>
            <c:numRef>
              <c:f>'Score Distrib History DATA'!$B$7:$H$7</c:f>
              <c:numCache>
                <c:ptCount val="7"/>
                <c:pt idx="0">
                  <c:v>2002</c:v>
                </c:pt>
                <c:pt idx="1">
                  <c:v>2003</c:v>
                </c:pt>
                <c:pt idx="2">
                  <c:v>2004</c:v>
                </c:pt>
                <c:pt idx="3">
                  <c:v>2005</c:v>
                </c:pt>
                <c:pt idx="4">
                  <c:v>2006</c:v>
                </c:pt>
                <c:pt idx="5">
                  <c:v>2007</c:v>
                </c:pt>
                <c:pt idx="6">
                  <c:v>2008</c:v>
                </c:pt>
              </c:numCache>
            </c:numRef>
          </c:cat>
          <c:val>
            <c:numRef>
              <c:f>'Score Distrib History DATA'!$B$21:$H$21</c:f>
              <c:numCache>
                <c:ptCount val="7"/>
                <c:pt idx="0">
                  <c:v>20955</c:v>
                </c:pt>
                <c:pt idx="1">
                  <c:v>34286</c:v>
                </c:pt>
                <c:pt idx="2">
                  <c:v>47558</c:v>
                </c:pt>
                <c:pt idx="3">
                  <c:v>64207</c:v>
                </c:pt>
                <c:pt idx="4">
                  <c:v>84143</c:v>
                </c:pt>
                <c:pt idx="5">
                  <c:v>101975</c:v>
                </c:pt>
                <c:pt idx="6">
                  <c:v>124638</c:v>
                </c:pt>
              </c:numCache>
            </c:numRef>
          </c:val>
        </c:ser>
        <c:gapWidth val="70"/>
        <c:axId val="42244572"/>
        <c:axId val="44656829"/>
      </c:barChart>
      <c:catAx>
        <c:axId val="42244572"/>
        <c:scaling>
          <c:orientation val="minMax"/>
        </c:scaling>
        <c:axPos val="b"/>
        <c:delete val="0"/>
        <c:numFmt formatCode="General" sourceLinked="1"/>
        <c:majorTickMark val="in"/>
        <c:minorTickMark val="none"/>
        <c:tickLblPos val="nextTo"/>
        <c:txPr>
          <a:bodyPr/>
          <a:lstStyle/>
          <a:p>
            <a:pPr>
              <a:defRPr lang="en-US" cap="none" sz="1600" b="1" i="0" u="none" baseline="0"/>
            </a:pPr>
          </a:p>
        </c:txPr>
        <c:crossAx val="44656829"/>
        <c:crosses val="autoZero"/>
        <c:auto val="0"/>
        <c:lblOffset val="100"/>
        <c:tickLblSkip val="1"/>
        <c:noMultiLvlLbl val="0"/>
      </c:catAx>
      <c:valAx>
        <c:axId val="44656829"/>
        <c:scaling>
          <c:orientation val="minMax"/>
          <c:max val="150000"/>
          <c:min val="0"/>
        </c:scaling>
        <c:axPos val="l"/>
        <c:majorGridlines>
          <c:spPr>
            <a:ln w="3175">
              <a:solidFill/>
              <a:prstDash val="sysDot"/>
            </a:ln>
          </c:spPr>
        </c:majorGridlines>
        <c:delete val="0"/>
        <c:numFmt formatCode="General" sourceLinked="1"/>
        <c:majorTickMark val="in"/>
        <c:minorTickMark val="none"/>
        <c:tickLblPos val="nextTo"/>
        <c:crossAx val="42244572"/>
        <c:crossesAt val="1"/>
        <c:crossBetween val="between"/>
        <c:dispUnits/>
        <c:majorUnit val="25000"/>
      </c:valAx>
      <c:spPr>
        <a:noFill/>
        <a:ln>
          <a:no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2007 Distribution of AP World History in Schools across the U.S.</a:t>
            </a:r>
          </a:p>
        </c:rich>
      </c:tx>
      <c:layout/>
      <c:spPr>
        <a:noFill/>
        <a:ln>
          <a:noFill/>
        </a:ln>
      </c:spPr>
    </c:title>
    <c:plotArea>
      <c:layout>
        <c:manualLayout>
          <c:xMode val="edge"/>
          <c:yMode val="edge"/>
          <c:x val="0.011"/>
          <c:y val="0.28425"/>
          <c:w val="0.978"/>
          <c:h val="0.64875"/>
        </c:manualLayout>
      </c:layout>
      <c:barChart>
        <c:barDir val="col"/>
        <c:grouping val="clustered"/>
        <c:varyColors val="0"/>
        <c:ser>
          <c:idx val="3"/>
          <c:order val="0"/>
          <c:tx>
            <c:strRef>
              <c:f>'Course Ledger DATA'!$F$55</c:f>
              <c:strCache>
                <c:ptCount val="1"/>
                <c:pt idx="0">
                  <c:v>% of Overall US Population</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1" i="0" u="none" baseline="0"/>
                </a:pPr>
              </a:p>
            </c:txPr>
            <c:dLblPos val="inEnd"/>
            <c:showLegendKey val="0"/>
            <c:showVal val="1"/>
            <c:showBubbleSize val="0"/>
            <c:showCatName val="0"/>
            <c:showSerName val="0"/>
            <c:showPercent val="0"/>
          </c:dLbls>
          <c:cat>
            <c:multiLvlStrRef>
              <c:f>'Course Ledger DATA'!$A$56:$B$61</c:f>
              <c:multiLvlStrCache>
                <c:ptCount val="6"/>
                <c:lvl>
                  <c:pt idx="0">
                    <c:v>Middle States</c:v>
                  </c:pt>
                  <c:pt idx="1">
                    <c:v>Midwest</c:v>
                  </c:pt>
                  <c:pt idx="2">
                    <c:v>New England</c:v>
                  </c:pt>
                  <c:pt idx="3">
                    <c:v>South</c:v>
                  </c:pt>
                  <c:pt idx="4">
                    <c:v>Southwest</c:v>
                  </c:pt>
                  <c:pt idx="5">
                    <c:v>West</c:v>
                  </c:pt>
                </c:lvl>
                <c:lvl>
                  <c:pt idx="0">
                    <c:v>DC, DE, MD, NJ, NY, PA </c:v>
                  </c:pt>
                  <c:pt idx="1">
                    <c:v>IL, IN, IA, KS, MI, MN, MO, NE, ND, OH, SD, WV, WI</c:v>
                  </c:pt>
                  <c:pt idx="2">
                    <c:v>CT, MA, ME, NH, RI, VT</c:v>
                  </c:pt>
                  <c:pt idx="3">
                    <c:v>AL, FL, GA, KY, LA, MS, NC, SC, TN, VA</c:v>
                  </c:pt>
                  <c:pt idx="4">
                    <c:v>AR, NM, OK, TX</c:v>
                  </c:pt>
                  <c:pt idx="5">
                    <c:v>AK, AZ, CA, CO, HI, ID, MT, NV, OR, UT, WA, WY</c:v>
                  </c:pt>
                </c:lvl>
              </c:multiLvlStrCache>
            </c:multiLvlStrRef>
          </c:cat>
          <c:val>
            <c:numRef>
              <c:f>'Course Ledger DATA'!$F$56:$F$61</c:f>
              <c:numCache>
                <c:ptCount val="6"/>
                <c:pt idx="0">
                  <c:v>0.15990195809726032</c:v>
                </c:pt>
                <c:pt idx="1">
                  <c:v>0.22869922609059296</c:v>
                </c:pt>
                <c:pt idx="2">
                  <c:v>0.048040567428935456</c:v>
                </c:pt>
                <c:pt idx="3">
                  <c:v>0.23449621559167674</c:v>
                </c:pt>
                <c:pt idx="4">
                  <c:v>0.1049740143399285</c:v>
                </c:pt>
                <c:pt idx="5">
                  <c:v>0.22388801845160602</c:v>
                </c:pt>
              </c:numCache>
            </c:numRef>
          </c:val>
        </c:ser>
        <c:ser>
          <c:idx val="0"/>
          <c:order val="1"/>
          <c:tx>
            <c:strRef>
              <c:f>'Course Ledger DATA'!$J$55</c:f>
              <c:strCache>
                <c:ptCount val="1"/>
                <c:pt idx="0">
                  <c:v>% of all AP-offering Schools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25" b="1" i="0" u="none" baseline="0"/>
                </a:pPr>
              </a:p>
            </c:txPr>
            <c:dLblPos val="inEnd"/>
            <c:showLegendKey val="0"/>
            <c:showVal val="1"/>
            <c:showBubbleSize val="0"/>
            <c:showCatName val="0"/>
            <c:showSerName val="0"/>
            <c:showPercent val="0"/>
          </c:dLbls>
          <c:val>
            <c:numRef>
              <c:f>'Course Ledger DATA'!$J$56:$J$61</c:f>
              <c:numCache>
                <c:ptCount val="6"/>
                <c:pt idx="0">
                  <c:v>0.17254761049227452</c:v>
                </c:pt>
                <c:pt idx="1">
                  <c:v>0.2299676607977003</c:v>
                </c:pt>
                <c:pt idx="2">
                  <c:v>0.063600431189364</c:v>
                </c:pt>
                <c:pt idx="3">
                  <c:v>0.2166726554078333</c:v>
                </c:pt>
                <c:pt idx="4">
                  <c:v>0.13431548688465683</c:v>
                </c:pt>
                <c:pt idx="5">
                  <c:v>0.18289615522817104</c:v>
                </c:pt>
              </c:numCache>
            </c:numRef>
          </c:val>
        </c:ser>
        <c:ser>
          <c:idx val="2"/>
          <c:order val="2"/>
          <c:tx>
            <c:strRef>
              <c:f>'Course Ledger DATA'!$E$55</c:f>
              <c:strCache>
                <c:ptCount val="1"/>
                <c:pt idx="0">
                  <c:v>% of all APWH-offering Schools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1" i="0" u="none" baseline="0"/>
                </a:pPr>
              </a:p>
            </c:txPr>
            <c:dLblPos val="inEnd"/>
            <c:showLegendKey val="0"/>
            <c:showVal val="1"/>
            <c:showBubbleSize val="0"/>
            <c:showCatName val="0"/>
            <c:showSerName val="0"/>
            <c:showPercent val="0"/>
          </c:dLbls>
          <c:cat>
            <c:multiLvlStrRef>
              <c:f>'Course Ledger DATA'!$A$56:$B$61</c:f>
              <c:multiLvlStrCache>
                <c:ptCount val="6"/>
                <c:lvl>
                  <c:pt idx="0">
                    <c:v>Middle States</c:v>
                  </c:pt>
                  <c:pt idx="1">
                    <c:v>Midwest</c:v>
                  </c:pt>
                  <c:pt idx="2">
                    <c:v>New England</c:v>
                  </c:pt>
                  <c:pt idx="3">
                    <c:v>South</c:v>
                  </c:pt>
                  <c:pt idx="4">
                    <c:v>Southwest</c:v>
                  </c:pt>
                  <c:pt idx="5">
                    <c:v>West</c:v>
                  </c:pt>
                </c:lvl>
                <c:lvl>
                  <c:pt idx="0">
                    <c:v>DC, DE, MD, NJ, NY, PA </c:v>
                  </c:pt>
                  <c:pt idx="1">
                    <c:v>IL, IN, IA, KS, MI, MN, MO, NE, ND, OH, SD, WV, WI</c:v>
                  </c:pt>
                  <c:pt idx="2">
                    <c:v>CT, MA, ME, NH, RI, VT</c:v>
                  </c:pt>
                  <c:pt idx="3">
                    <c:v>AL, FL, GA, KY, LA, MS, NC, SC, TN, VA</c:v>
                  </c:pt>
                  <c:pt idx="4">
                    <c:v>AR, NM, OK, TX</c:v>
                  </c:pt>
                  <c:pt idx="5">
                    <c:v>AK, AZ, CA, CO, HI, ID, MT, NV, OR, UT, WA, WY</c:v>
                  </c:pt>
                </c:lvl>
              </c:multiLvlStrCache>
            </c:multiLvlStrRef>
          </c:cat>
          <c:val>
            <c:numRef>
              <c:f>'Course Ledger DATA'!$E$56:$E$61</c:f>
              <c:numCache>
                <c:ptCount val="6"/>
                <c:pt idx="0">
                  <c:v>0.19202190066484162</c:v>
                </c:pt>
                <c:pt idx="1">
                  <c:v>0.11576065701994524</c:v>
                </c:pt>
                <c:pt idx="2">
                  <c:v>0.030895580758701604</c:v>
                </c:pt>
                <c:pt idx="3">
                  <c:v>0.2800156433320297</c:v>
                </c:pt>
                <c:pt idx="4">
                  <c:v>0.19163081736409857</c:v>
                </c:pt>
                <c:pt idx="5">
                  <c:v>0.18967540086038326</c:v>
                </c:pt>
              </c:numCache>
            </c:numRef>
          </c:val>
        </c:ser>
        <c:ser>
          <c:idx val="1"/>
          <c:order val="3"/>
          <c:tx>
            <c:strRef>
              <c:f>'Course Ledger DATA'!$K$55</c:f>
              <c:strCache>
                <c:ptCount val="1"/>
                <c:pt idx="0">
                  <c:v>Region's % of all APWH Summer Institutes</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1" i="0" u="none" baseline="0"/>
                </a:pPr>
              </a:p>
            </c:txPr>
            <c:dLblPos val="inEnd"/>
            <c:showLegendKey val="0"/>
            <c:showVal val="1"/>
            <c:showBubbleSize val="0"/>
            <c:showCatName val="0"/>
            <c:showSerName val="0"/>
            <c:showPercent val="0"/>
          </c:dLbls>
          <c:val>
            <c:numRef>
              <c:f>'Course Ledger DATA'!$K$56:$K$61</c:f>
              <c:numCache>
                <c:ptCount val="6"/>
                <c:pt idx="0">
                  <c:v>0.140625</c:v>
                </c:pt>
                <c:pt idx="1">
                  <c:v>0.140625</c:v>
                </c:pt>
                <c:pt idx="2">
                  <c:v>0.046875</c:v>
                </c:pt>
                <c:pt idx="3">
                  <c:v>0.203125</c:v>
                </c:pt>
                <c:pt idx="4">
                  <c:v>0.21875</c:v>
                </c:pt>
                <c:pt idx="5">
                  <c:v>0.25</c:v>
                </c:pt>
              </c:numCache>
            </c:numRef>
          </c:val>
        </c:ser>
        <c:ser>
          <c:idx val="4"/>
          <c:order val="4"/>
          <c:tx>
            <c:strRef>
              <c:f>'Course Ledger DATA'!$L$55</c:f>
              <c:strCache>
                <c:ptCount val="1"/>
                <c:pt idx="0">
                  <c:v>Region's % of AP Schools offering APWH</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1" i="0" u="none" baseline="0"/>
                </a:pPr>
              </a:p>
            </c:txPr>
            <c:dLblPos val="inEnd"/>
            <c:showLegendKey val="0"/>
            <c:showVal val="1"/>
            <c:showBubbleSize val="0"/>
            <c:showCatName val="0"/>
            <c:showSerName val="0"/>
            <c:showPercent val="0"/>
          </c:dLbls>
          <c:val>
            <c:numRef>
              <c:f>'Course Ledger DATA'!$L$56:$L$61</c:f>
              <c:numCache>
                <c:ptCount val="6"/>
                <c:pt idx="0">
                  <c:v>0.2044981257809246</c:v>
                </c:pt>
                <c:pt idx="1">
                  <c:v>0.0925</c:v>
                </c:pt>
                <c:pt idx="2">
                  <c:v>0.08926553672316384</c:v>
                </c:pt>
                <c:pt idx="3">
                  <c:v>0.23747927031509122</c:v>
                </c:pt>
                <c:pt idx="4">
                  <c:v>0.26217228464419473</c:v>
                </c:pt>
                <c:pt idx="5">
                  <c:v>0.1905697445972495</c:v>
                </c:pt>
              </c:numCache>
            </c:numRef>
          </c:val>
        </c:ser>
        <c:gapWidth val="40"/>
        <c:axId val="66367142"/>
        <c:axId val="60433367"/>
      </c:barChart>
      <c:catAx>
        <c:axId val="66367142"/>
        <c:scaling>
          <c:orientation val="minMax"/>
        </c:scaling>
        <c:axPos val="b"/>
        <c:title>
          <c:tx>
            <c:rich>
              <a:bodyPr vert="horz" rot="0" anchor="ctr"/>
              <a:lstStyle/>
              <a:p>
                <a:pPr algn="ctr">
                  <a:defRPr/>
                </a:pPr>
                <a:r>
                  <a:rPr lang="en-US" cap="none" sz="1325" b="1" i="0" u="none" baseline="0"/>
                  <a:t>AP Region</a:t>
                </a:r>
              </a:p>
            </c:rich>
          </c:tx>
          <c:layout/>
          <c:overlay val="0"/>
          <c:spPr>
            <a:noFill/>
            <a:ln>
              <a:noFill/>
            </a:ln>
          </c:spPr>
        </c:title>
        <c:delete val="0"/>
        <c:numFmt formatCode="General" sourceLinked="1"/>
        <c:majorTickMark val="out"/>
        <c:minorTickMark val="none"/>
        <c:tickLblPos val="nextTo"/>
        <c:txPr>
          <a:bodyPr/>
          <a:lstStyle/>
          <a:p>
            <a:pPr>
              <a:defRPr lang="en-US" cap="none" sz="1125" b="1" i="0" u="none" baseline="0"/>
            </a:pPr>
          </a:p>
        </c:txPr>
        <c:crossAx val="60433367"/>
        <c:crosses val="autoZero"/>
        <c:auto val="1"/>
        <c:lblOffset val="100"/>
        <c:noMultiLvlLbl val="0"/>
      </c:catAx>
      <c:valAx>
        <c:axId val="60433367"/>
        <c:scaling>
          <c:orientation val="minMax"/>
        </c:scaling>
        <c:axPos val="l"/>
        <c:majorGridlines>
          <c:spPr>
            <a:ln w="3175">
              <a:solidFill/>
              <a:prstDash val="sysDot"/>
            </a:ln>
          </c:spPr>
        </c:majorGridlines>
        <c:delete val="0"/>
        <c:numFmt formatCode="0%" sourceLinked="0"/>
        <c:majorTickMark val="out"/>
        <c:minorTickMark val="none"/>
        <c:tickLblPos val="nextTo"/>
        <c:crossAx val="66367142"/>
        <c:crossesAt val="1"/>
        <c:crossBetween val="between"/>
        <c:dispUnits/>
      </c:valAx>
      <c:spPr>
        <a:noFill/>
        <a:ln w="12700">
          <a:solidFill>
            <a:srgbClr val="808080"/>
          </a:solidFill>
        </a:ln>
      </c:spPr>
    </c:plotArea>
    <c:legend>
      <c:legendPos val="t"/>
      <c:layout>
        <c:manualLayout>
          <c:xMode val="edge"/>
          <c:yMode val="edge"/>
          <c:x val="0.18"/>
          <c:y val="0.08925"/>
          <c:w val="0.6305"/>
          <c:h val="0.18225"/>
        </c:manualLayout>
      </c:layout>
      <c:overlay val="0"/>
      <c:txPr>
        <a:bodyPr vert="horz" rot="0"/>
        <a:lstStyle/>
        <a:p>
          <a:pPr>
            <a:defRPr lang="en-US" cap="none" sz="1300" b="1"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AP World History Student Age Distribution</a:t>
            </a:r>
          </a:p>
        </c:rich>
      </c:tx>
      <c:layout/>
      <c:spPr>
        <a:noFill/>
        <a:ln>
          <a:noFill/>
        </a:ln>
      </c:spPr>
    </c:title>
    <c:plotArea>
      <c:layout>
        <c:manualLayout>
          <c:xMode val="edge"/>
          <c:yMode val="edge"/>
          <c:x val="0.01775"/>
          <c:y val="0.1175"/>
          <c:w val="0.9785"/>
          <c:h val="0.86375"/>
        </c:manualLayout>
      </c:layout>
      <c:barChart>
        <c:barDir val="col"/>
        <c:grouping val="percentStacked"/>
        <c:varyColors val="0"/>
        <c:ser>
          <c:idx val="1"/>
          <c:order val="0"/>
          <c:tx>
            <c:strRef>
              <c:f>'Scores by Grade Level DATA'!$H$9</c:f>
              <c:strCache>
                <c:ptCount val="1"/>
                <c:pt idx="0">
                  <c:v>Frosh</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t>Frosh 3.4%</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000" b="1" i="0" u="none" baseline="0"/>
                      <a:t>Frosh 3.5%</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000" b="1" i="0" u="none" baseline="0"/>
                      <a:t>Frosh 4.2%</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000" b="1" i="0" u="none" baseline="0"/>
                      <a:t>Frosh 4.5%</a:t>
                    </a:r>
                  </a:p>
                </c:rich>
              </c:tx>
              <c:numFmt formatCode="General" sourceLinked="1"/>
              <c:showLegendKey val="0"/>
              <c:showVal val="1"/>
              <c:showBubbleSize val="0"/>
              <c:showCatName val="0"/>
              <c:showSerName val="1"/>
              <c:showPercent val="0"/>
              <c:separator>
</c:separator>
            </c:dLbl>
            <c:dLbl>
              <c:idx val="4"/>
              <c:tx>
                <c:rich>
                  <a:bodyPr vert="horz" rot="0" anchor="ctr"/>
                  <a:lstStyle/>
                  <a:p>
                    <a:pPr algn="ctr">
                      <a:defRPr/>
                    </a:pPr>
                    <a:r>
                      <a:rPr lang="en-US" cap="none" sz="1000" b="1" i="0" u="none" baseline="0"/>
                      <a:t>Frosh 4.0%</a:t>
                    </a:r>
                  </a:p>
                </c:rich>
              </c:tx>
              <c:numFmt formatCode="General" sourceLinked="1"/>
              <c:showLegendKey val="0"/>
              <c:showVal val="1"/>
              <c:showBubbleSize val="0"/>
              <c:showCatName val="0"/>
              <c:showSerName val="1"/>
              <c:showPercent val="0"/>
              <c:separator>
</c:separator>
            </c:dLbl>
            <c:dLbl>
              <c:idx val="5"/>
              <c:tx>
                <c:rich>
                  <a:bodyPr vert="horz" rot="0" anchor="ctr"/>
                  <a:lstStyle/>
                  <a:p>
                    <a:pPr algn="ctr">
                      <a:defRPr/>
                    </a:pPr>
                    <a:r>
                      <a:rPr lang="en-US" cap="none" sz="1000" b="1" i="0" u="none" baseline="0"/>
                      <a:t>Frosh 4.6%</a:t>
                    </a:r>
                  </a:p>
                </c:rich>
              </c:tx>
              <c:numFmt formatCode="General" sourceLinked="1"/>
              <c:showLegendKey val="0"/>
              <c:showVal val="1"/>
              <c:showBubbleSize val="0"/>
              <c:showCatName val="0"/>
              <c:showSerName val="1"/>
              <c:showPercent val="0"/>
              <c:separator>
</c:separator>
            </c:dLbl>
            <c:dLbl>
              <c:idx val="6"/>
              <c:tx>
                <c:rich>
                  <a:bodyPr vert="horz" rot="0" anchor="ctr"/>
                  <a:lstStyle/>
                  <a:p>
                    <a:pPr algn="ctr">
                      <a:defRPr/>
                    </a:pPr>
                    <a:r>
                      <a:rPr lang="en-US" cap="none" sz="1000" b="1" i="0" u="none" baseline="0"/>
                      <a:t>Frosh 5.3%</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000" b="1" i="0" u="none" baseline="0"/>
                </a:pPr>
              </a:p>
            </c:txPr>
            <c:showLegendKey val="0"/>
            <c:showVal val="1"/>
            <c:showBubbleSize val="0"/>
            <c:showCatName val="0"/>
            <c:showSerName val="1"/>
            <c:showPercent val="0"/>
            <c:separator>
</c:separator>
          </c:dLbls>
          <c:cat>
            <c:numRef>
              <c:f>'Scores by Grade Level DATA'!$I$8:$O$8</c:f>
              <c:numCache>
                <c:ptCount val="7"/>
                <c:pt idx="0">
                  <c:v>2002</c:v>
                </c:pt>
                <c:pt idx="1">
                  <c:v>2003</c:v>
                </c:pt>
                <c:pt idx="2">
                  <c:v>2004</c:v>
                </c:pt>
                <c:pt idx="3">
                  <c:v>2005</c:v>
                </c:pt>
                <c:pt idx="4">
                  <c:v>2006</c:v>
                </c:pt>
                <c:pt idx="5">
                  <c:v>2007</c:v>
                </c:pt>
                <c:pt idx="6">
                  <c:v>2008</c:v>
                </c:pt>
              </c:numCache>
            </c:numRef>
          </c:cat>
          <c:val>
            <c:numRef>
              <c:f>'Scores by Grade Level DATA'!$I$9:$O$9</c:f>
              <c:numCache>
                <c:ptCount val="7"/>
                <c:pt idx="0">
                  <c:v>0.03412073490813648</c:v>
                </c:pt>
                <c:pt idx="1">
                  <c:v>0.03508720760660328</c:v>
                </c:pt>
                <c:pt idx="2">
                  <c:v>0.041570293115774426</c:v>
                </c:pt>
                <c:pt idx="3">
                  <c:v>0.04532216113507873</c:v>
                </c:pt>
                <c:pt idx="4">
                  <c:v>0.03994390501883698</c:v>
                </c:pt>
                <c:pt idx="5">
                  <c:v>0.04594263299828389</c:v>
                </c:pt>
                <c:pt idx="6">
                  <c:v>0.05267253967489851</c:v>
                </c:pt>
              </c:numCache>
            </c:numRef>
          </c:val>
        </c:ser>
        <c:ser>
          <c:idx val="2"/>
          <c:order val="1"/>
          <c:tx>
            <c:strRef>
              <c:f>'Scores by Grade Level DATA'!$H$10</c:f>
              <c:strCache>
                <c:ptCount val="1"/>
                <c:pt idx="0">
                  <c:v>Soph</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00" b="1" i="0" u="none" baseline="0"/>
                      <a:t>Soph
69.4%</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Soph
73.5%</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200" b="1" i="0" u="none" baseline="0"/>
                      <a:t>Soph
74.6%</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200" b="1" i="0" u="none" baseline="0"/>
                      <a:t>Soph
76.1%</a:t>
                    </a:r>
                  </a:p>
                </c:rich>
              </c:tx>
              <c:numFmt formatCode="General" sourceLinked="1"/>
              <c:showLegendKey val="0"/>
              <c:showVal val="1"/>
              <c:showBubbleSize val="0"/>
              <c:showCatName val="0"/>
              <c:showSerName val="1"/>
              <c:showPercent val="0"/>
              <c:separator>
</c:separator>
            </c:dLbl>
            <c:dLbl>
              <c:idx val="4"/>
              <c:tx>
                <c:rich>
                  <a:bodyPr vert="horz" rot="0" anchor="ctr"/>
                  <a:lstStyle/>
                  <a:p>
                    <a:pPr algn="ctr">
                      <a:defRPr/>
                    </a:pPr>
                    <a:r>
                      <a:rPr lang="en-US" cap="none" sz="1200" b="1" i="0" u="none" baseline="0"/>
                      <a:t>Soph
76.9%</a:t>
                    </a:r>
                  </a:p>
                </c:rich>
              </c:tx>
              <c:numFmt formatCode="General" sourceLinked="1"/>
              <c:showLegendKey val="0"/>
              <c:showVal val="1"/>
              <c:showBubbleSize val="0"/>
              <c:showCatName val="0"/>
              <c:showSerName val="1"/>
              <c:showPercent val="0"/>
              <c:separator>
</c:separator>
            </c:dLbl>
            <c:dLbl>
              <c:idx val="5"/>
              <c:tx>
                <c:rich>
                  <a:bodyPr vert="horz" rot="0" anchor="ctr"/>
                  <a:lstStyle/>
                  <a:p>
                    <a:pPr algn="ctr">
                      <a:defRPr/>
                    </a:pPr>
                    <a:r>
                      <a:rPr lang="en-US" cap="none" sz="1200" b="1" i="0" u="none" baseline="0"/>
                      <a:t>Soph
76.5%</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'Scores by Grade Level DATA'!$I$8:$O$8</c:f>
              <c:numCache>
                <c:ptCount val="7"/>
                <c:pt idx="0">
                  <c:v>2002</c:v>
                </c:pt>
                <c:pt idx="1">
                  <c:v>2003</c:v>
                </c:pt>
                <c:pt idx="2">
                  <c:v>2004</c:v>
                </c:pt>
                <c:pt idx="3">
                  <c:v>2005</c:v>
                </c:pt>
                <c:pt idx="4">
                  <c:v>2006</c:v>
                </c:pt>
                <c:pt idx="5">
                  <c:v>2007</c:v>
                </c:pt>
                <c:pt idx="6">
                  <c:v>2008</c:v>
                </c:pt>
              </c:numCache>
            </c:numRef>
          </c:cat>
          <c:val>
            <c:numRef>
              <c:f>'Scores by Grade Level DATA'!$I$10:$O$10</c:f>
              <c:numCache>
                <c:ptCount val="7"/>
                <c:pt idx="0">
                  <c:v>0.6936292054402291</c:v>
                </c:pt>
                <c:pt idx="1">
                  <c:v>0.7348480429329756</c:v>
                </c:pt>
                <c:pt idx="2">
                  <c:v>0.7458471760797342</c:v>
                </c:pt>
                <c:pt idx="3">
                  <c:v>0.7605557026492439</c:v>
                </c:pt>
                <c:pt idx="4">
                  <c:v>0.7689409695399498</c:v>
                </c:pt>
                <c:pt idx="5">
                  <c:v>0.765001225790635</c:v>
                </c:pt>
                <c:pt idx="6">
                  <c:v>0.7654567627850254</c:v>
                </c:pt>
              </c:numCache>
            </c:numRef>
          </c:val>
        </c:ser>
        <c:ser>
          <c:idx val="3"/>
          <c:order val="2"/>
          <c:tx>
            <c:strRef>
              <c:f>'Scores by Grade Level DATA'!$H$11</c:f>
              <c:strCache>
                <c:ptCount val="1"/>
                <c:pt idx="0">
                  <c:v>Juniors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t>Juniors
14.9%</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200" b="1" i="0" u="none" baseline="0"/>
                      <a:t>Juniors
12.2%</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200" b="1" i="0" u="none" baseline="0"/>
                      <a:t>Juniors
10.1%</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200" b="1" i="0" u="none" baseline="0"/>
                      <a:t>Juniors
9.7%</a:t>
                    </a:r>
                  </a:p>
                </c:rich>
              </c:tx>
              <c:numFmt formatCode="General" sourceLinked="1"/>
              <c:showLegendKey val="0"/>
              <c:showVal val="1"/>
              <c:showBubbleSize val="0"/>
              <c:showCatName val="0"/>
              <c:showSerName val="1"/>
              <c:showPercent val="0"/>
              <c:separator>
</c:separator>
            </c:dLbl>
            <c:dLbl>
              <c:idx val="4"/>
              <c:tx>
                <c:rich>
                  <a:bodyPr vert="horz" rot="0" anchor="ctr"/>
                  <a:lstStyle/>
                  <a:p>
                    <a:pPr algn="ctr">
                      <a:defRPr/>
                    </a:pPr>
                    <a:r>
                      <a:rPr lang="en-US" cap="none" sz="1200" b="1" i="0" u="none" baseline="0"/>
                      <a:t>Juniors
9.6%</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200" b="1" i="0" u="none" baseline="0"/>
                </a:pPr>
              </a:p>
            </c:txPr>
            <c:showLegendKey val="0"/>
            <c:showVal val="1"/>
            <c:showBubbleSize val="0"/>
            <c:showCatName val="0"/>
            <c:showSerName val="1"/>
            <c:showPercent val="0"/>
            <c:separator>
</c:separator>
          </c:dLbls>
          <c:cat>
            <c:numRef>
              <c:f>'Scores by Grade Level DATA'!$I$8:$O$8</c:f>
              <c:numCache>
                <c:ptCount val="7"/>
                <c:pt idx="0">
                  <c:v>2002</c:v>
                </c:pt>
                <c:pt idx="1">
                  <c:v>2003</c:v>
                </c:pt>
                <c:pt idx="2">
                  <c:v>2004</c:v>
                </c:pt>
                <c:pt idx="3">
                  <c:v>2005</c:v>
                </c:pt>
                <c:pt idx="4">
                  <c:v>2006</c:v>
                </c:pt>
                <c:pt idx="5">
                  <c:v>2007</c:v>
                </c:pt>
                <c:pt idx="6">
                  <c:v>2008</c:v>
                </c:pt>
              </c:numCache>
            </c:numRef>
          </c:cat>
          <c:val>
            <c:numRef>
              <c:f>'Scores by Grade Level DATA'!$I$11:$O$11</c:f>
              <c:numCache>
                <c:ptCount val="7"/>
                <c:pt idx="0">
                  <c:v>0.14898592221426868</c:v>
                </c:pt>
                <c:pt idx="1">
                  <c:v>0.12168231931400572</c:v>
                </c:pt>
                <c:pt idx="2">
                  <c:v>0.10061398713150259</c:v>
                </c:pt>
                <c:pt idx="3">
                  <c:v>0.09692089647546218</c:v>
                </c:pt>
                <c:pt idx="4">
                  <c:v>0.09581308011361611</c:v>
                </c:pt>
                <c:pt idx="5">
                  <c:v>0.09974993871046825</c:v>
                </c:pt>
                <c:pt idx="6">
                  <c:v>0.09753044817792327</c:v>
                </c:pt>
              </c:numCache>
            </c:numRef>
          </c:val>
        </c:ser>
        <c:ser>
          <c:idx val="4"/>
          <c:order val="3"/>
          <c:tx>
            <c:strRef>
              <c:f>'Scores by Grade Level DATA'!$H$12</c:f>
              <c:strCache>
                <c:ptCount val="1"/>
                <c:pt idx="0">
                  <c:v>Seniors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25" b="1" i="0" u="none" baseline="0"/>
                      <a:t>Seniors 9.0%</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1025" b="1" i="0" u="none" baseline="0"/>
                      <a:t>Seniors 7.6%</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1025" b="1" i="0" u="none" baseline="0"/>
                      <a:t>Seniors 7.2%</a:t>
                    </a:r>
                  </a:p>
                </c:rich>
              </c:tx>
              <c:numFmt formatCode="General" sourceLinked="1"/>
              <c:showLegendKey val="0"/>
              <c:showVal val="1"/>
              <c:showBubbleSize val="0"/>
              <c:showCatName val="0"/>
              <c:showSerName val="1"/>
              <c:showPercent val="0"/>
            </c:dLbl>
            <c:dLbl>
              <c:idx val="3"/>
              <c:tx>
                <c:rich>
                  <a:bodyPr vert="horz" rot="0" anchor="ctr"/>
                  <a:lstStyle/>
                  <a:p>
                    <a:pPr algn="ctr">
                      <a:defRPr/>
                    </a:pPr>
                    <a:r>
                      <a:rPr lang="en-US" cap="none" sz="1025" b="1" i="0" u="none" baseline="0"/>
                      <a:t>Seniors 6.6%</a:t>
                    </a:r>
                  </a:p>
                </c:rich>
              </c:tx>
              <c:numFmt formatCode="General" sourceLinked="1"/>
              <c:showLegendKey val="0"/>
              <c:showVal val="1"/>
              <c:showBubbleSize val="0"/>
              <c:showCatName val="0"/>
              <c:showSerName val="1"/>
              <c:showPercent val="0"/>
            </c:dLbl>
            <c:dLbl>
              <c:idx val="4"/>
              <c:tx>
                <c:rich>
                  <a:bodyPr vert="horz" rot="0" anchor="ctr"/>
                  <a:lstStyle/>
                  <a:p>
                    <a:pPr algn="ctr">
                      <a:defRPr/>
                    </a:pPr>
                    <a:r>
                      <a:rPr lang="en-US" cap="none" sz="1025" b="1" i="0" u="none" baseline="0"/>
                      <a:t>Seniors 5.7%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25" b="1" i="0" u="none" baseline="0"/>
                </a:pPr>
              </a:p>
            </c:txPr>
            <c:showLegendKey val="0"/>
            <c:showVal val="1"/>
            <c:showBubbleSize val="0"/>
            <c:showCatName val="0"/>
            <c:showSerName val="1"/>
            <c:showPercent val="0"/>
          </c:dLbls>
          <c:cat>
            <c:numRef>
              <c:f>'Scores by Grade Level DATA'!$I$8:$O$8</c:f>
              <c:numCache>
                <c:ptCount val="7"/>
                <c:pt idx="0">
                  <c:v>2002</c:v>
                </c:pt>
                <c:pt idx="1">
                  <c:v>2003</c:v>
                </c:pt>
                <c:pt idx="2">
                  <c:v>2004</c:v>
                </c:pt>
                <c:pt idx="3">
                  <c:v>2005</c:v>
                </c:pt>
                <c:pt idx="4">
                  <c:v>2006</c:v>
                </c:pt>
                <c:pt idx="5">
                  <c:v>2007</c:v>
                </c:pt>
                <c:pt idx="6">
                  <c:v>2008</c:v>
                </c:pt>
              </c:numCache>
            </c:numRef>
          </c:cat>
          <c:val>
            <c:numRef>
              <c:f>'Scores by Grade Level DATA'!$I$12:$O$12</c:f>
              <c:numCache>
                <c:ptCount val="7"/>
                <c:pt idx="0">
                  <c:v>0.09014554998806967</c:v>
                </c:pt>
                <c:pt idx="1">
                  <c:v>0.07565770285247624</c:v>
                </c:pt>
                <c:pt idx="2">
                  <c:v>0.07199629925564574</c:v>
                </c:pt>
                <c:pt idx="3">
                  <c:v>0.06608313735262511</c:v>
                </c:pt>
                <c:pt idx="4">
                  <c:v>0.0570100899658914</c:v>
                </c:pt>
                <c:pt idx="5">
                  <c:v>0.05453297376808041</c:v>
                </c:pt>
                <c:pt idx="6">
                  <c:v>0.054830789967746596</c:v>
                </c:pt>
              </c:numCache>
            </c:numRef>
          </c:val>
        </c:ser>
        <c:ser>
          <c:idx val="5"/>
          <c:order val="4"/>
          <c:tx>
            <c:strRef>
              <c:f>'Scores by Grade Level DATA'!$H$13</c:f>
              <c:strCache>
                <c:ptCount val="1"/>
                <c:pt idx="0">
                  <c:v>Other</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t>Other 3.3%</a:t>
                    </a:r>
                  </a:p>
                </c:rich>
              </c:tx>
              <c:numFmt formatCode="General" sourceLinked="1"/>
              <c:showLegendKey val="0"/>
              <c:showVal val="1"/>
              <c:showBubbleSize val="0"/>
              <c:showCatName val="0"/>
              <c:showSerName val="1"/>
              <c:showPercent val="0"/>
              <c:separator> </c:separator>
            </c:dLbl>
            <c:dLbl>
              <c:idx val="1"/>
              <c:tx>
                <c:rich>
                  <a:bodyPr vert="horz" rot="0" anchor="ctr"/>
                  <a:lstStyle/>
                  <a:p>
                    <a:pPr algn="ctr">
                      <a:defRPr/>
                    </a:pPr>
                    <a:r>
                      <a:rPr lang="en-US" cap="none" sz="1000" b="1" i="0" u="none" baseline="0"/>
                      <a:t>Other 3.3%</a:t>
                    </a:r>
                  </a:p>
                </c:rich>
              </c:tx>
              <c:numFmt formatCode="General" sourceLinked="1"/>
              <c:showLegendKey val="0"/>
              <c:showVal val="1"/>
              <c:showBubbleSize val="0"/>
              <c:showCatName val="0"/>
              <c:showSerName val="1"/>
              <c:showPercent val="0"/>
              <c:separator> </c:separator>
            </c:dLbl>
            <c:dLbl>
              <c:idx val="2"/>
              <c:tx>
                <c:rich>
                  <a:bodyPr vert="horz" rot="0" anchor="ctr"/>
                  <a:lstStyle/>
                  <a:p>
                    <a:pPr algn="ctr">
                      <a:defRPr/>
                    </a:pPr>
                    <a:r>
                      <a:rPr lang="en-US" cap="none" sz="1000" b="1" i="0" u="none" baseline="0"/>
                      <a:t>Other 4.0%</a:t>
                    </a:r>
                  </a:p>
                </c:rich>
              </c:tx>
              <c:numFmt formatCode="General" sourceLinked="1"/>
              <c:showLegendKey val="0"/>
              <c:showVal val="1"/>
              <c:showBubbleSize val="0"/>
              <c:showCatName val="0"/>
              <c:showSerName val="1"/>
              <c:showPercent val="0"/>
              <c:separator> </c:separator>
            </c:dLbl>
            <c:dLbl>
              <c:idx val="3"/>
              <c:tx>
                <c:rich>
                  <a:bodyPr vert="horz" rot="0" anchor="ctr"/>
                  <a:lstStyle/>
                  <a:p>
                    <a:pPr algn="ctr">
                      <a:defRPr/>
                    </a:pPr>
                    <a:r>
                      <a:rPr lang="en-US" cap="none" sz="1000" b="1" i="0" u="none" baseline="0"/>
                      <a:t>Other 3.1%</a:t>
                    </a:r>
                  </a:p>
                </c:rich>
              </c:tx>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1000" b="1" i="0" u="none" baseline="0"/>
                </a:pPr>
              </a:p>
            </c:txPr>
            <c:showLegendKey val="0"/>
            <c:showVal val="1"/>
            <c:showBubbleSize val="0"/>
            <c:showCatName val="0"/>
            <c:showSerName val="1"/>
            <c:showPercent val="0"/>
            <c:separator> </c:separator>
          </c:dLbls>
          <c:cat>
            <c:numRef>
              <c:f>'Scores by Grade Level DATA'!$I$8:$O$8</c:f>
              <c:numCache>
                <c:ptCount val="7"/>
                <c:pt idx="0">
                  <c:v>2002</c:v>
                </c:pt>
                <c:pt idx="1">
                  <c:v>2003</c:v>
                </c:pt>
                <c:pt idx="2">
                  <c:v>2004</c:v>
                </c:pt>
                <c:pt idx="3">
                  <c:v>2005</c:v>
                </c:pt>
                <c:pt idx="4">
                  <c:v>2006</c:v>
                </c:pt>
                <c:pt idx="5">
                  <c:v>2007</c:v>
                </c:pt>
                <c:pt idx="6">
                  <c:v>2008</c:v>
                </c:pt>
              </c:numCache>
            </c:numRef>
          </c:cat>
          <c:val>
            <c:numRef>
              <c:f>'Scores by Grade Level DATA'!$I$13:$O$13</c:f>
              <c:numCache>
                <c:ptCount val="7"/>
                <c:pt idx="0">
                  <c:v>0.03311858744929611</c:v>
                </c:pt>
                <c:pt idx="1">
                  <c:v>0.032724727293939215</c:v>
                </c:pt>
                <c:pt idx="2">
                  <c:v>0.03997224441734303</c:v>
                </c:pt>
                <c:pt idx="3">
                  <c:v>0.03111810238759014</c:v>
                </c:pt>
                <c:pt idx="4">
                  <c:v>0.03829195536170567</c:v>
                </c:pt>
                <c:pt idx="5">
                  <c:v>0.03477322873253248</c:v>
                </c:pt>
                <c:pt idx="6">
                  <c:v>0.0295094593944062</c:v>
                </c:pt>
              </c:numCache>
            </c:numRef>
          </c:val>
        </c:ser>
        <c:overlap val="100"/>
        <c:gapWidth val="30"/>
        <c:axId val="7029392"/>
        <c:axId val="63264529"/>
      </c:barChart>
      <c:catAx>
        <c:axId val="7029392"/>
        <c:scaling>
          <c:orientation val="minMax"/>
        </c:scaling>
        <c:axPos val="b"/>
        <c:delete val="0"/>
        <c:numFmt formatCode="General" sourceLinked="1"/>
        <c:majorTickMark val="out"/>
        <c:minorTickMark val="none"/>
        <c:tickLblPos val="nextTo"/>
        <c:txPr>
          <a:bodyPr/>
          <a:lstStyle/>
          <a:p>
            <a:pPr>
              <a:defRPr lang="en-US" cap="none" sz="1400" b="1" i="0" u="none" baseline="0"/>
            </a:pPr>
          </a:p>
        </c:txPr>
        <c:crossAx val="63264529"/>
        <c:crosses val="autoZero"/>
        <c:auto val="1"/>
        <c:lblOffset val="100"/>
        <c:noMultiLvlLbl val="0"/>
      </c:catAx>
      <c:valAx>
        <c:axId val="63264529"/>
        <c:scaling>
          <c:orientation val="minMax"/>
        </c:scaling>
        <c:axPos val="l"/>
        <c:majorGridlines>
          <c:spPr>
            <a:ln w="3175">
              <a:solidFill/>
              <a:prstDash val="sysDot"/>
            </a:ln>
          </c:spPr>
        </c:majorGridlines>
        <c:delete val="0"/>
        <c:numFmt formatCode="General" sourceLinked="1"/>
        <c:majorTickMark val="out"/>
        <c:minorTickMark val="none"/>
        <c:tickLblPos val="nextTo"/>
        <c:crossAx val="7029392"/>
        <c:crossesAt val="1"/>
        <c:crossBetween val="between"/>
        <c:dispUnits/>
        <c:majorUnit val="0.25"/>
      </c:valAx>
      <c:spPr>
        <a:noFill/>
        <a:ln>
          <a:no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35.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39.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41.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4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45.xml" /></Relationships>
</file>

<file path=xl/chartsheets/_rels/sheet31.xml.rels><?xml version="1.0" encoding="utf-8" standalone="yes"?><Relationships xmlns="http://schemas.openxmlformats.org/package/2006/relationships"><Relationship Id="rId1" Type="http://schemas.openxmlformats.org/officeDocument/2006/relationships/drawing" Target="../drawings/drawing47.xml" /></Relationships>
</file>

<file path=xl/chartsheets/_rels/sheet32.xml.rels><?xml version="1.0" encoding="utf-8" standalone="yes"?><Relationships xmlns="http://schemas.openxmlformats.org/package/2006/relationships"><Relationship Id="rId1" Type="http://schemas.openxmlformats.org/officeDocument/2006/relationships/drawing" Target="../drawings/drawing49.xml" /></Relationships>
</file>

<file path=xl/chartsheets/_rels/sheet33.xml.rels><?xml version="1.0" encoding="utf-8" standalone="yes"?><Relationships xmlns="http://schemas.openxmlformats.org/package/2006/relationships"><Relationship Id="rId1" Type="http://schemas.openxmlformats.org/officeDocument/2006/relationships/drawing" Target="../drawings/drawing51.xml" /></Relationships>
</file>

<file path=xl/chartsheets/_rels/sheet34.xml.rels><?xml version="1.0" encoding="utf-8" standalone="yes"?><Relationships xmlns="http://schemas.openxmlformats.org/package/2006/relationships"><Relationship Id="rId1" Type="http://schemas.openxmlformats.org/officeDocument/2006/relationships/drawing" Target="../drawings/drawing52.xml" /></Relationships>
</file>

<file path=xl/chartsheets/_rels/sheet35.xml.rels><?xml version="1.0" encoding="utf-8" standalone="yes"?><Relationships xmlns="http://schemas.openxmlformats.org/package/2006/relationships"><Relationship Id="rId1" Type="http://schemas.openxmlformats.org/officeDocument/2006/relationships/drawing" Target="../drawings/drawing53.xml" /></Relationships>
</file>

<file path=xl/chartsheets/_rels/sheet36.xml.rels><?xml version="1.0" encoding="utf-8" standalone="yes"?><Relationships xmlns="http://schemas.openxmlformats.org/package/2006/relationships"><Relationship Id="rId1" Type="http://schemas.openxmlformats.org/officeDocument/2006/relationships/drawing" Target="../drawings/drawing54.xml" /></Relationships>
</file>

<file path=xl/chartsheets/_rels/sheet37.xml.rels><?xml version="1.0" encoding="utf-8" standalone="yes"?><Relationships xmlns="http://schemas.openxmlformats.org/package/2006/relationships"><Relationship Id="rId1" Type="http://schemas.openxmlformats.org/officeDocument/2006/relationships/drawing" Target="../drawings/drawing55.xml" /></Relationships>
</file>

<file path=xl/chartsheets/_rels/sheet38.xml.rels><?xml version="1.0" encoding="utf-8" standalone="yes"?><Relationships xmlns="http://schemas.openxmlformats.org/package/2006/relationships"><Relationship Id="rId1" Type="http://schemas.openxmlformats.org/officeDocument/2006/relationships/drawing" Target="../drawings/drawing5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zoomScale="90"/>
  </sheetViews>
  <pageMargins left="0.75" right="0.75" top="1" bottom="1.25" header="0.75" footer="0.75"/>
  <pageSetup horizontalDpi="600" verticalDpi="600" orientation="landscape"/>
  <headerFooter>
    <oddHeader>&amp;R&amp;D</oddHeader>
    <oddFooter>&amp;LSource: College Board Honors AP® Community on Program's 50th Anniversary
http://www.collegeboard.com/press/releases/47343.html
&amp;CPage 1&amp;RBill Strickland
East Grand Rapids HS
East Grand Rapids, MI
bstrickl@egrps.org</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firstPageNumber="20" useFirstPageNumber="1" horizontalDpi="600" verticalDpi="600" orientation="landscape"/>
  <headerFooter>
    <oddHeader>&amp;R&amp;D</oddHeader>
    <oddFooter>&amp;LSource: http://apcentral.collegeboard.com/apc/
members/exam/exam_questions/2090.html&amp;CPage 10&amp;RBill Strickland
East Grand Rapids HS
East Grand Rapids, MI
bstrickl@egrps.org</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83"/>
  </sheetViews>
  <pageMargins left="0.75" right="0.75" top="0.75" bottom="1" header="0.75" footer="0.5"/>
  <pageSetup firstPageNumber="21" useFirstPageNumber="1" horizontalDpi="600" verticalDpi="600" orientation="landscape"/>
  <headerFooter>
    <oddHeader>&amp;R&amp;D</oddHeader>
    <oddFooter>&amp;LSource: http://apcentral.collegeboard.com/apc/
members/exam/exam_questions/2090.html&amp;CPage 11&amp;RBill Strickland
East Grand Rapids HS
East Grand Rapids, MI
bstrickl@egrps.org</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firstPageNumber="22" useFirstPageNumber="1" horizontalDpi="600" verticalDpi="600" orientation="landscape"/>
  <headerFooter>
    <oddHeader>&amp;R&amp;D</oddHeader>
    <oddFooter>&amp;LSource: http://apcentral.collegeboard.com/apc/
members/exam/exam_questions/2090.html&amp;CPage 12&amp;RBill Strickland
East Grand Rapids HS
East Grand Rapids, MI
bstrickl@egrps.org</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79"/>
  </sheetViews>
  <pageMargins left="0.75" right="0.75" top="0.5" bottom="0.87" header="0.75" footer="0.67"/>
  <pageSetup firstPageNumber="16" useFirstPageNumber="1" horizontalDpi="300" verticalDpi="300" orientation="landscape"/>
  <headerFooter>
    <oddHeader>&amp;R&amp;D</oddHeader>
    <oddFooter>&amp;LSource: AP World History Electronic Discussion Group message,
posted 8/5/02 "Core Distribution"&amp;CPage 13&amp;RBill Strickland
East Grand Rapids HS
East Grand Rapids, MI
bstrickl@egrps.org</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79"/>
  </sheetViews>
  <pageMargins left="0.75" right="0.75" top="0.5" bottom="0.87" header="0.75" footer="0.67"/>
  <pageSetup firstPageNumber="16" useFirstPageNumber="1" horizontalDpi="300" verticalDpi="300" orientation="landscape"/>
  <headerFooter>
    <oddHeader>&amp;R&amp;D</oddHeader>
    <oddFooter>&amp;LSource: The Dilemmas of a National Assessment in World History:
World Historians and the 12th Grade NAEP by Bob Bain and Tamara Shreiner&amp;CPage 14&amp;RBill Strickland
bstrickl@egrps.org
www.egrps.org/hs/hsstaff/bstrickl/apwh.html</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79"/>
  </sheetViews>
  <pageMargins left="0.75" right="0.75" top="0.5" bottom="0.87" header="0.75" footer="0.67"/>
  <pageSetup firstPageNumber="16" useFirstPageNumber="1" horizontalDpi="300" verticalDpi="300" orientation="landscape"/>
  <headerFooter>
    <oddHeader>&amp;R&amp;D</oddHeader>
    <oddFooter>&amp;LSource: The Dilemmas of a National Assessment in World History:
World Historians and the 12th Grade NAEP by Bob Bain and Tamara Shreiner&amp;CPage 15&amp;RBill Strickland
bstrickl@egrps.org
www.egrps.org/hs/hsstaff/bstrickl/apwh.html</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80"/>
  </sheetViews>
  <pageMargins left="0.75" right="0.75" top="0.5" bottom="1" header="0.5" footer="0.5"/>
  <pageSetup horizontalDpi="600" verticalDpi="600" orientation="landscape"/>
  <headerFooter>
    <oddFooter>&amp;LSource: The Dilemmas of a National Assessment in World History:
World Historians and the 12th Grade NAEP by Bob Bain and Tamara Shreiner&amp;CPage 16&amp;RBill Strickland
bstrickl@egrps.org
www.egrps.org/hs/hsstaff/bstrickl/apwh.html</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1"/>
  </sheetViews>
  <pageMargins left="0.75" right="0.75" top="1" bottom="1.32" header="0.75" footer="0.75"/>
  <pageSetup firstPageNumber="18" useFirstPageNumber="1" horizontalDpi="600" verticalDpi="600" orientation="landscape"/>
  <headerFooter>
    <oddHeader>&amp;R&amp;D</oddHeader>
    <oddFooter>&amp;LSource: http://apcentral.collegeboard.com/apc/
members/exam/exam_questions/29472.html&amp;CPage 17&amp;RBill Strickland
East Grand Rapids HS
East Grand Rapids, MI
bstrickl@egrps.org</oddFooter>
  </headerFooter>
  <drawing r:id="rId1"/>
</chartsheet>
</file>

<file path=xl/chartsheets/sheet18.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firstPageNumber="19" useFirstPageNumber="1" horizontalDpi="600" verticalDpi="600" orientation="landscape"/>
  <headerFooter>
    <oddFooter>&amp;LSource: http://apcentral.collegeboard.com/apc/
members/exam/exam_questions/29472.html&amp;CPage 18&amp;RBill Strickland
East Grand Rapids HS
East Grand Rapids, MI
bstrickl@egrps.org</oddFooter>
  </headerFooter>
  <drawing r:id="rId1"/>
</chartsheet>
</file>

<file path=xl/chartsheets/sheet19.xml><?xml version="1.0" encoding="utf-8"?>
<chartsheet xmlns="http://schemas.openxmlformats.org/spreadsheetml/2006/main" xmlns:r="http://schemas.openxmlformats.org/officeDocument/2006/relationships">
  <sheetViews>
    <sheetView workbookViewId="0" zoomScale="83"/>
  </sheetViews>
  <pageMargins left="0.75" right="0.75" top="0.75" bottom="1" header="0.75" footer="0.5"/>
  <pageSetup horizontalDpi="600" verticalDpi="600" orientation="landscape"/>
  <headerFooter>
    <oddHeader>&amp;R&amp;D</oddHeader>
    <oddFooter>&amp;LSource: 2002 AP World History Released Exam, p. 87.&amp;CPage 19&amp;RBill Strickland
East Grand Rapids HS
East Grand Rapids, MI
bstrickl@egrps.org</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75" right="0.75" top="0.75" bottom="0.75" header="0.75" footer="0.5"/>
  <pageSetup firstPageNumber="23" useFirstPageNumber="1" horizontalDpi="600" verticalDpi="600" orientation="landscape"/>
  <headerFooter>
    <oddFooter>&amp;Lhttp://www.washingtonpost.com/wp-dyn/articles/A6900-2004Nov23.html
Do What Works: How Proven Practices Can Improve America's Public Schools," by Tom Luce and Lee Thompson&amp;RBill Strickland
East Grand Rapids HS
East Grand Rapids, MI
bstrickl@egrps.org</oddFooter>
  </headerFooter>
  <drawing r:id="rId1"/>
</chartsheet>
</file>

<file path=xl/chartsheets/sheet20.xml><?xml version="1.0" encoding="utf-8"?>
<chartsheet xmlns="http://schemas.openxmlformats.org/spreadsheetml/2006/main" xmlns:r="http://schemas.openxmlformats.org/officeDocument/2006/relationships">
  <sheetViews>
    <sheetView workbookViewId="0" zoomScale="83"/>
  </sheetViews>
  <pageMargins left="0.75" right="0.75" top="0.75" bottom="1" header="0.75" footer="0.5"/>
  <pageSetup horizontalDpi="600" verticalDpi="600" orientation="landscape"/>
  <headerFooter>
    <oddHeader>&amp;R&amp;D</oddHeader>
    <oddFooter>&amp;LSource: Extrapolated from data in 
2007 AP World History Released Exam, p. 89.&amp;CPage 20&amp;RBill Strickland
East Grand Rapids HS
East Grand Rapids, MI
bstrickl@egrps.org</oddFooter>
  </headerFooter>
  <drawing r:id="rId1"/>
</chartsheet>
</file>

<file path=xl/chartsheets/sheet21.xml><?xml version="1.0" encoding="utf-8"?>
<chartsheet xmlns="http://schemas.openxmlformats.org/spreadsheetml/2006/main" xmlns:r="http://schemas.openxmlformats.org/officeDocument/2006/relationships">
  <sheetViews>
    <sheetView workbookViewId="0" zoomScale="83"/>
  </sheetViews>
  <pageMargins left="0.75" right="0.75" top="0.75" bottom="1" header="0.75" footer="0.5"/>
  <pageSetup horizontalDpi="600" verticalDpi="600" orientation="landscape"/>
  <headerFooter>
    <oddHeader>&amp;R&amp;D</oddHeader>
    <oddFooter>&amp;LSource: Extrapolated from data in 2002 AP World History Released Exam, p. 87, and 2007 Released Exam, p. 89.&amp;CPage 21&amp;RBill Strickland
East Grand Rapids HS
East Grand Rapids, MI
bstrickl@egrps.org</oddFooter>
  </headerFooter>
  <drawing r:id="rId1"/>
</chartsheet>
</file>

<file path=xl/chartsheets/sheet22.xml><?xml version="1.0" encoding="utf-8"?>
<chartsheet xmlns="http://schemas.openxmlformats.org/spreadsheetml/2006/main" xmlns:r="http://schemas.openxmlformats.org/officeDocument/2006/relationships">
  <sheetViews>
    <sheetView workbookViewId="0" zoomScale="75"/>
  </sheetViews>
  <pageMargins left="0.75" right="0.75" top="0.5" bottom="0.5" header="0.5" footer="0.5"/>
  <pageSetup firstPageNumber="2" useFirstPageNumber="1" horizontalDpi="600" verticalDpi="600" orientation="landscape"/>
  <headerFooter>
    <oddHeader>&amp;R&amp;D</oddHeader>
    <oddFooter>&amp;LSource: 2002 AP World History Released Exam, p. 88
(Data extrapolated from "Weighted Section I Score" information)&amp;CPage 22&amp;RBill Strickland
East Grand Rapids HS
East Grand Rapids, MI
bstrickl@egrps.org</oddFooter>
  </headerFooter>
  <drawing r:id="rId1"/>
</chartsheet>
</file>

<file path=xl/chartsheets/sheet23.xml><?xml version="1.0" encoding="utf-8"?>
<chartsheet xmlns="http://schemas.openxmlformats.org/spreadsheetml/2006/main" xmlns:r="http://schemas.openxmlformats.org/officeDocument/2006/relationships">
  <sheetViews>
    <sheetView workbookViewId="0" zoomScale="75"/>
  </sheetViews>
  <pageMargins left="0.75" right="0.75" top="0.5" bottom="0.5" header="0.5" footer="0.5"/>
  <pageSetup firstPageNumber="2" useFirstPageNumber="1" horizontalDpi="600" verticalDpi="600" orientation="landscape"/>
  <headerFooter>
    <oddHeader>&amp;R&amp;D</oddHeader>
    <oddFooter>&amp;LSource: 2007 AP World History Released Exam, p. 89
(Data extrapolated from Table 4.4 "Section I Scores and AP Grades")&amp;CPage 23&amp;RBill Strickland
East Grand Rapids HS
East Grand Rapids, MI
bstrickl@egrps.org</oddFooter>
  </headerFooter>
  <drawing r:id="rId1"/>
</chartsheet>
</file>

<file path=xl/chartsheets/sheet24.xml><?xml version="1.0" encoding="utf-8"?>
<chartsheet xmlns="http://schemas.openxmlformats.org/spreadsheetml/2006/main" xmlns:r="http://schemas.openxmlformats.org/officeDocument/2006/relationships">
  <sheetViews>
    <sheetView workbookViewId="0" zoomScale="80"/>
  </sheetViews>
  <pageMargins left="0.75" right="0.75" top="0.5" bottom="1" header="0.75" footer="0.5"/>
  <pageSetup firstPageNumber="3" useFirstPageNumber="1" horizontalDpi="600" verticalDpi="600" orientation="landscape"/>
  <headerFooter>
    <oddHeader>&amp;R&amp;D</oddHeader>
    <oddFooter>&amp;LSource: 2002 AP World History Released Exam, p. 87&amp;CPage 25&amp;RBill Strickland
East Grand Rapids HS
East Grand Rapids, MI
bstrickl@egrps.org</oddFooter>
  </headerFooter>
  <drawing r:id="rId1"/>
</chartsheet>
</file>

<file path=xl/chartsheets/sheet25.xml><?xml version="1.0" encoding="utf-8"?>
<chartsheet xmlns="http://schemas.openxmlformats.org/spreadsheetml/2006/main" xmlns:r="http://schemas.openxmlformats.org/officeDocument/2006/relationships">
  <sheetViews>
    <sheetView workbookViewId="0" zoomScale="80"/>
  </sheetViews>
  <pageMargins left="0.75" right="0.75" top="0.5" bottom="1" header="0.75" footer="0.5"/>
  <pageSetup firstPageNumber="3" useFirstPageNumber="1" horizontalDpi="600" verticalDpi="600" orientation="landscape"/>
  <headerFooter>
    <oddHeader>&amp;R&amp;D</oddHeader>
    <oddFooter>&amp;LSource: 2007 AP World History Released Exam, p. 88&amp;CPage 26&amp;RBill Strickland
East Grand Rapids HS
East Grand Rapids, MI
bstrickl@egrps.org</oddFooter>
  </headerFooter>
  <drawing r:id="rId1"/>
</chartsheet>
</file>

<file path=xl/chartsheets/sheet26.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firstPageNumber="3" useFirstPageNumber="1" horizontalDpi="600" verticalDpi="600" orientation="landscape"/>
  <headerFooter>
    <oddHeader>&amp;R&amp;D</oddHeader>
    <oddFooter>&amp;LSource: AP World History 2002 Released Exam&amp;CPage 27&amp;RBill Strickland
East Grand Rapids HS
East Grand Rapids, MI
bstrickl@egrps.org</oddFooter>
  </headerFooter>
  <drawing r:id="rId1"/>
</chartsheet>
</file>

<file path=xl/chartsheets/sheet27.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firstPageNumber="3" useFirstPageNumber="1" horizontalDpi="600" verticalDpi="600" orientation="landscape"/>
  <headerFooter>
    <oddHeader>&amp;R&amp;D</oddHeader>
    <oddFooter>&amp;LSource: AP World History 2007 Released Exam, pp. 47-48&amp;CPage 28&amp;RBill Strickland
East Grand Rapids HS
East Grand Rapids, MI
bstrickl@egrps.org</oddFooter>
  </headerFooter>
  <drawing r:id="rId1"/>
</chartsheet>
</file>

<file path=xl/chartsheets/sheet28.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firstPageNumber="3" useFirstPageNumber="1" horizontalDpi="600" verticalDpi="600" orientation="landscape"/>
  <headerFooter>
    <oddHeader>&amp;R&amp;D</oddHeader>
    <oddFooter>&amp;LSource: AP World History 2002 Released Exam, p. 42,
2007 Released Exam, pp. 47-48&amp;CPage 29&amp;RBill Strickland
East Grand Rapids HS
East Grand Rapids, MI
bstrickl@egrps.org</oddFooter>
  </headerFooter>
  <drawing r:id="rId1"/>
</chartsheet>
</file>

<file path=xl/chartsheets/sheet29.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horizontalDpi="600" verticalDpi="600" orientation="landscape"/>
  <headerFooter>
    <oddHeader>&amp;R&amp;D</oddHeader>
    <oddFooter>&amp;LSource: AP World History 2002 Released Exam, p. 43.&amp;CPage 30&amp;RBill Strickland
East Grand Rapids HS
East Grand Rapids, MI
bstrickl@egrps.org
http://www.egrps.org/hs/hsstaff/bstrickl/apwh.html</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0"/>
  </sheetViews>
  <pageMargins left="0.75" right="0.75" top="0.5" bottom="1" header="0.5" footer="0.5"/>
  <pageSetup horizontalDpi="600" verticalDpi="600" orientation="landscape"/>
  <headerFooter>
    <oddFooter>&amp;LSource: The Relationship Between Advanced Placement and
College Graduation (National Center for Educational Accountability, 2006)&amp;CPage 3&amp;RBill Strickland
http://www.egrps.org/hs/hsstaff/bstrickl/apwh.html
bstrickl@egrps.org</oddFooter>
  </headerFooter>
  <drawing r:id="rId1"/>
</chartsheet>
</file>

<file path=xl/chartsheets/sheet30.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horizontalDpi="600" verticalDpi="600" orientation="landscape"/>
  <headerFooter>
    <oddHeader>&amp;R&amp;D</oddHeader>
    <oddFooter>&amp;LSource: AP World History 2007 Released Exam, p. 47-48.&amp;CPage 31&amp;RBill Strickland
East Grand Rapids HS
East Grand Rapids, MI
bstrickl@egrps.org
http://www.egrps.org/hs/hsstaff/bstrickl/apwh.html</oddFooter>
  </headerFooter>
  <drawing r:id="rId1"/>
</chartsheet>
</file>

<file path=xl/chartsheets/sheet31.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horizontalDpi="600" verticalDpi="600" orientation="landscape"/>
  <headerFooter>
    <oddHeader>&amp;R&amp;D</oddHeader>
    <oddFooter>&amp;LSource: AP World History 2002 Released Exam, p. 43.&amp;CPage 32&amp;RBill Strickland
East Grand Rapids HS
East Grand Rapids, MI
bstrickl@egrps.org
http://www.egrps.org/hs/hsstaff/bstrickl/apwh.html</oddFooter>
  </headerFooter>
  <drawing r:id="rId1"/>
</chartsheet>
</file>

<file path=xl/chartsheets/sheet32.xml><?xml version="1.0" encoding="utf-8"?>
<chartsheet xmlns="http://schemas.openxmlformats.org/spreadsheetml/2006/main" xmlns:r="http://schemas.openxmlformats.org/officeDocument/2006/relationships">
  <sheetViews>
    <sheetView workbookViewId="0" zoomScale="83"/>
  </sheetViews>
  <pageMargins left="0.75" right="0.75" top="0.75" bottom="1" header="0.75" footer="0.75"/>
  <pageSetup firstPageNumber="5" useFirstPageNumber="1" horizontalDpi="600" verticalDpi="600" orientation="landscape"/>
  <headerFooter>
    <oddHeader>&amp;R&amp;D</oddHeader>
    <oddFooter>&amp;CPage 33&amp;RBill Strickland
East Grand Rapids HS
East Grand Rapids, MI
bstrickl@egrps.org
http://www.egrps.org/hs/hsstaff/bstrickl/apwh.html</oddFooter>
  </headerFooter>
  <drawing r:id="rId1"/>
</chartsheet>
</file>

<file path=xl/chartsheets/sheet33.xml><?xml version="1.0" encoding="utf-8"?>
<chartsheet xmlns="http://schemas.openxmlformats.org/spreadsheetml/2006/main" xmlns:r="http://schemas.openxmlformats.org/officeDocument/2006/relationships">
  <sheetViews>
    <sheetView workbookViewId="0" zoomScale="83"/>
  </sheetViews>
  <pageMargins left="0.75" right="0.75" top="0.75" bottom="1" header="0.75" footer="0.5"/>
  <pageSetup firstPageNumber="12" useFirstPageNumber="1" horizontalDpi="600" verticalDpi="600" orientation="landscape"/>
  <headerFooter>
    <oddHeader>&amp;R&amp;D</oddHeader>
    <oddFooter>&amp;LSource: http://apcentral.collegeboard.com/apc/
members/exam/exam_questions/2090.html&amp;CPage 34&amp;RBill Strickland
East Grand Rapids HS
East Grand Rapids, MI
bstrickl@egrps.org</oddFooter>
  </headerFooter>
  <drawing r:id="rId1"/>
</chartsheet>
</file>

<file path=xl/chartsheets/sheet34.xml><?xml version="1.0" encoding="utf-8"?>
<chartsheet xmlns="http://schemas.openxmlformats.org/spreadsheetml/2006/main" xmlns:r="http://schemas.openxmlformats.org/officeDocument/2006/relationships">
  <sheetViews>
    <sheetView workbookViewId="0" zoomScale="59"/>
  </sheetViews>
  <pageMargins left="0.75" right="0.75" top="0.5" bottom="1" header="0.75" footer="0.5"/>
  <pageSetup horizontalDpi="600" verticalDpi="600" orientation="portrait"/>
  <headerFooter>
    <oddHeader>&amp;R&amp;D</oddHeader>
    <oddFooter>&amp;LSource: 2002 AP World History Released Exam, p. 85.&amp;CPage 35&amp;RBill Strickland
East Grand Rapids HS
East Grand Rapids, MI
bstrickl@egrps.org</oddFooter>
  </headerFooter>
  <drawing r:id="rId1"/>
</chartsheet>
</file>

<file path=xl/chartsheets/sheet35.xml><?xml version="1.0" encoding="utf-8"?>
<chartsheet xmlns="http://schemas.openxmlformats.org/spreadsheetml/2006/main" xmlns:r="http://schemas.openxmlformats.org/officeDocument/2006/relationships">
  <sheetViews>
    <sheetView workbookViewId="0" zoomScale="59"/>
  </sheetViews>
  <pageMargins left="0.75" right="0.75" top="0.5" bottom="1" header="0.75" footer="0.5"/>
  <pageSetup horizontalDpi="600" verticalDpi="600" orientation="portrait"/>
  <headerFooter>
    <oddHeader>&amp;R&amp;D</oddHeader>
    <oddFooter>&amp;LSource: 2007 AP World History Released Exam, p. 87.&amp;CPage 36&amp;RBill Strickland
East Grand Rapids HS
East Grand Rapids, MI
bstrickl@egrps.org</oddFooter>
  </headerFooter>
  <drawing r:id="rId1"/>
</chartsheet>
</file>

<file path=xl/chartsheets/sheet36.xml><?xml version="1.0" encoding="utf-8"?>
<chartsheet xmlns="http://schemas.openxmlformats.org/spreadsheetml/2006/main" xmlns:r="http://schemas.openxmlformats.org/officeDocument/2006/relationships">
  <sheetViews>
    <sheetView workbookViewId="0" zoomScale="80"/>
  </sheetViews>
  <pageMargins left="0.75" right="0.75" top="0.5" bottom="1" header="0.75" footer="0.5"/>
  <pageSetup horizontalDpi="600" verticalDpi="600" orientation="landscape"/>
  <headerFooter>
    <oddHeader>&amp;R&amp;D</oddHeader>
    <oddFooter>&amp;LSource: 2002 AP World History Released Exam, p. 85.
2007 AP World History Released Exam, p. 87&amp;CPage 37&amp;RBill Strickland
East Grand Rapids HS
East Grand Rapids, MI
bstrickl@egrps.org</oddFooter>
  </headerFooter>
  <drawing r:id="rId1"/>
</chartsheet>
</file>

<file path=xl/chartsheets/sheet37.xml><?xml version="1.0" encoding="utf-8"?>
<chartsheet xmlns="http://schemas.openxmlformats.org/spreadsheetml/2006/main" xmlns:r="http://schemas.openxmlformats.org/officeDocument/2006/relationships">
  <sheetViews>
    <sheetView workbookViewId="0" zoomScale="80"/>
  </sheetViews>
  <pageMargins left="0.75" right="0.75" top="0.5" bottom="1" header="0.25" footer="0.5"/>
  <pageSetup horizontalDpi="600" verticalDpi="600" orientation="landscape"/>
  <headerFooter>
    <oddFooter>&amp;LSource: AP Central, respective Exam pages for
World History, US History, and European History&amp;CPage 38&amp;RBill Strickland
East Grand Rapids HS
East Grand Rapids, MI
bstrickl@egrps.org</oddFooter>
  </headerFooter>
  <drawing r:id="rId1"/>
</chartsheet>
</file>

<file path=xl/chartsheets/sheet38.xml><?xml version="1.0" encoding="utf-8"?>
<chartsheet xmlns="http://schemas.openxmlformats.org/spreadsheetml/2006/main" xmlns:r="http://schemas.openxmlformats.org/officeDocument/2006/relationships">
  <sheetViews>
    <sheetView workbookViewId="0" zoomScale="8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6"/>
  </sheetViews>
  <pageMargins left="0.75" right="0.75" top="1" bottom="1" header="0.75" footer="0.5"/>
  <pageSetup firstPageNumber="25" useFirstPageNumber="1" horizontalDpi="600" verticalDpi="600" orientation="landscape"/>
  <headerFooter>
    <oddFooter>&amp;Lhttp://www.washingtonpost.com/wp-dyn/articles/A6900-2004Nov23.html
Do What Works: How Proven Practices Can Improve America's Public Schools," by Tom Luce and Lee Thompson&amp;RBill Strickland
East Grand Rapids HS
East Grand Rapids, MI
bstrickl@egrps.org</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0"/>
  </sheetViews>
  <pageMargins left="0.75" right="0.75" top="0.75" bottom="0.75" header="0.75" footer="0.5"/>
  <pageSetup firstPageNumber="24" useFirstPageNumber="1" horizontalDpi="600" verticalDpi="600" orientation="landscape"/>
  <headerFooter>
    <oddFooter>&amp;Lhttp://www.washingtonpost.com/wp-dyn/articles/A6900-2004Nov23.html
Do What Works: How Proven Practices Can Improve America's Public Schools," by Tom Luce and Lee Thompson&amp;RBill Strickland
East Grand Rapids HS
East Grand Rapids, MI
bstrickl@egrps.org</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86"/>
  </sheetViews>
  <pageMargins left="0.75" right="0.75" top="1" bottom="1" header="0.5" footer="0.5"/>
  <pageSetup horizontalDpi="600" verticalDpi="600" orientation="landscape"/>
  <headerFooter>
    <oddFooter>&amp;L2008 AP Report to the Nation, College Board, p. 9, 44&amp;CPage 6&amp;RBill Strickland
East Grand Rapids HS
East Grand Rapids, MI
bstrickl@egrps.org</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83"/>
  </sheetViews>
  <pageMargins left="0.75" right="0.75" top="0.75" bottom="1" header="0.75" footer="0.5"/>
  <pageSetup horizontalDpi="600" verticalDpi="600" orientation="landscape"/>
  <headerFooter>
    <oddHeader>&amp;R&amp;D</oddHeader>
    <oddFooter>&amp;LSource: http://apcentral.collegeboard.com/
members/article/1,3046,152-171-0-2090,00.html&amp;CPage 7&amp;RBill Strickland
East Grand Rapids HS
East Grand Rapids, MI
bstrickl@egrps.org</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82"/>
  </sheetViews>
  <pageMargins left="0.75" right="0.75" top="0.69" bottom="1" header="0.5" footer="0.5"/>
  <pageSetup horizontalDpi="600" verticalDpi="600" orientation="landscape"/>
  <headerFooter>
    <oddHeader>&amp;R&amp;D</oddHeader>
    <oddFooter>&amp;LSources: 2007-8 AP Course Ledger
https://apcourseaudit.epiconline.org/ledger/
AP Summer Institutes listed on AP Central. http://apcentral.collegeboard.com&amp;CPage 8&amp;RBill Strickland
East Grand Rapids HS
http://www.egrps.org/hs/hsstaff/bstrickl/apwh.html</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83"/>
  </sheetViews>
  <pageMargins left="0.75" right="0.75" top="0.75" bottom="1" header="0.75" footer="0.5"/>
  <pageSetup horizontalDpi="600" verticalDpi="600" orientation="landscape"/>
  <headerFooter>
    <oddHeader>&amp;R&amp;D</oddHeader>
    <oddFooter>&amp;LSource: AP Program Summary Reports, found at  http://apcentral.collegeboard.com/
apc/members/exam/exam_questions/51945.html&amp;CPage 9&amp;RBill Strickland
East Grand Rapids HS
East Grand Rapids, MI
bstrickl@egrps.org</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05475"/>
    <xdr:graphicFrame>
      <xdr:nvGraphicFramePr>
        <xdr:cNvPr id="1" name="Shape 1025"/>
        <xdr:cNvGraphicFramePr/>
      </xdr:nvGraphicFramePr>
      <xdr:xfrm>
        <a:off x="0" y="0"/>
        <a:ext cx="8677275" cy="57054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162675"/>
    <xdr:graphicFrame>
      <xdr:nvGraphicFramePr>
        <xdr:cNvPr id="1" name="Shape 1025"/>
        <xdr:cNvGraphicFramePr/>
      </xdr:nvGraphicFramePr>
      <xdr:xfrm>
        <a:off x="0" y="0"/>
        <a:ext cx="8677275" cy="6162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19825"/>
    <xdr:graphicFrame>
      <xdr:nvGraphicFramePr>
        <xdr:cNvPr id="1" name="Shape 1025"/>
        <xdr:cNvGraphicFramePr/>
      </xdr:nvGraphicFramePr>
      <xdr:xfrm>
        <a:off x="0" y="0"/>
        <a:ext cx="8677275" cy="62198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162675"/>
    <xdr:graphicFrame>
      <xdr:nvGraphicFramePr>
        <xdr:cNvPr id="1" name="Shape 1025"/>
        <xdr:cNvGraphicFramePr/>
      </xdr:nvGraphicFramePr>
      <xdr:xfrm>
        <a:off x="0" y="0"/>
        <a:ext cx="8677275" cy="6162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162675"/>
    <xdr:graphicFrame>
      <xdr:nvGraphicFramePr>
        <xdr:cNvPr id="1" name="Shape 1025"/>
        <xdr:cNvGraphicFramePr/>
      </xdr:nvGraphicFramePr>
      <xdr:xfrm>
        <a:off x="0" y="0"/>
        <a:ext cx="8677275" cy="6162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505575"/>
    <xdr:graphicFrame>
      <xdr:nvGraphicFramePr>
        <xdr:cNvPr id="1" name="Shape 1025"/>
        <xdr:cNvGraphicFramePr/>
      </xdr:nvGraphicFramePr>
      <xdr:xfrm>
        <a:off x="0" y="0"/>
        <a:ext cx="8677275" cy="65055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505575"/>
    <xdr:graphicFrame>
      <xdr:nvGraphicFramePr>
        <xdr:cNvPr id="1" name="Shape 1025"/>
        <xdr:cNvGraphicFramePr/>
      </xdr:nvGraphicFramePr>
      <xdr:xfrm>
        <a:off x="0" y="0"/>
        <a:ext cx="8677275" cy="65055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505575"/>
    <xdr:graphicFrame>
      <xdr:nvGraphicFramePr>
        <xdr:cNvPr id="1" name="Shape 1025"/>
        <xdr:cNvGraphicFramePr/>
      </xdr:nvGraphicFramePr>
      <xdr:xfrm>
        <a:off x="0" y="0"/>
        <a:ext cx="8677275" cy="65055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0.83875</cdr:y>
    </cdr:from>
    <cdr:to>
      <cdr:x>0.30275</cdr:x>
      <cdr:y>0.905</cdr:y>
    </cdr:to>
    <cdr:sp>
      <cdr:nvSpPr>
        <cdr:cNvPr id="1" name="TextBox 1"/>
        <cdr:cNvSpPr txBox="1">
          <a:spLocks noChangeArrowheads="1"/>
        </cdr:cNvSpPr>
      </cdr:nvSpPr>
      <cdr:spPr>
        <a:xfrm>
          <a:off x="361950" y="5353050"/>
          <a:ext cx="2266950" cy="419100"/>
        </a:xfrm>
        <a:prstGeom prst="rect">
          <a:avLst/>
        </a:prstGeom>
        <a:noFill/>
        <a:ln w="9525" cmpd="sng">
          <a:noFill/>
        </a:ln>
      </cdr:spPr>
      <cdr:txBody>
        <a:bodyPr vertOverflow="clip" wrap="square"/>
        <a:p>
          <a:pPr algn="ctr">
            <a:defRPr/>
          </a:pPr>
          <a:r>
            <a:rPr lang="en-US" cap="none" sz="1200" b="1" i="0" u="none" baseline="0"/>
            <a:t>Took AP Course and Passed
AP Exam in High School</a:t>
          </a:r>
        </a:p>
      </cdr:txBody>
    </cdr:sp>
  </cdr:relSizeAnchor>
  <cdr:relSizeAnchor xmlns:cdr="http://schemas.openxmlformats.org/drawingml/2006/chartDrawing">
    <cdr:from>
      <cdr:x>0.36225</cdr:x>
      <cdr:y>0.83875</cdr:y>
    </cdr:from>
    <cdr:to>
      <cdr:x>0.646</cdr:x>
      <cdr:y>0.913</cdr:y>
    </cdr:to>
    <cdr:sp>
      <cdr:nvSpPr>
        <cdr:cNvPr id="2" name="TextBox 2"/>
        <cdr:cNvSpPr txBox="1">
          <a:spLocks noChangeArrowheads="1"/>
        </cdr:cNvSpPr>
      </cdr:nvSpPr>
      <cdr:spPr>
        <a:xfrm>
          <a:off x="3143250" y="5353050"/>
          <a:ext cx="2457450" cy="476250"/>
        </a:xfrm>
        <a:prstGeom prst="rect">
          <a:avLst/>
        </a:prstGeom>
        <a:noFill/>
        <a:ln w="9525" cmpd="sng">
          <a:noFill/>
        </a:ln>
      </cdr:spPr>
      <cdr:txBody>
        <a:bodyPr vertOverflow="clip" wrap="square"/>
        <a:p>
          <a:pPr algn="ctr">
            <a:defRPr/>
          </a:pPr>
          <a:r>
            <a:rPr lang="en-US" cap="none" sz="1200" b="1" i="0" u="none" baseline="0"/>
            <a:t>Took AP Course but did not Pass AP Exam in High School</a:t>
          </a:r>
        </a:p>
      </cdr:txBody>
    </cdr:sp>
  </cdr:relSizeAnchor>
  <cdr:relSizeAnchor xmlns:cdr="http://schemas.openxmlformats.org/drawingml/2006/chartDrawing">
    <cdr:from>
      <cdr:x>0.7125</cdr:x>
      <cdr:y>0.83875</cdr:y>
    </cdr:from>
    <cdr:to>
      <cdr:x>0.949</cdr:x>
      <cdr:y>0.913</cdr:y>
    </cdr:to>
    <cdr:sp>
      <cdr:nvSpPr>
        <cdr:cNvPr id="3" name="TextBox 3"/>
        <cdr:cNvSpPr txBox="1">
          <a:spLocks noChangeArrowheads="1"/>
        </cdr:cNvSpPr>
      </cdr:nvSpPr>
      <cdr:spPr>
        <a:xfrm>
          <a:off x="6181725" y="5353050"/>
          <a:ext cx="2047875" cy="476250"/>
        </a:xfrm>
        <a:prstGeom prst="rect">
          <a:avLst/>
        </a:prstGeom>
        <a:noFill/>
        <a:ln w="9525" cmpd="sng">
          <a:noFill/>
        </a:ln>
      </cdr:spPr>
      <cdr:txBody>
        <a:bodyPr vertOverflow="clip" wrap="square"/>
        <a:p>
          <a:pPr algn="ctr">
            <a:defRPr/>
          </a:pPr>
          <a:r>
            <a:rPr lang="en-US" cap="none" sz="1200" b="1" i="0" u="none" baseline="0"/>
            <a:t>Did not take AP Course
in High School</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638800"/>
    <xdr:graphicFrame>
      <xdr:nvGraphicFramePr>
        <xdr:cNvPr id="1" name="Shape 1025"/>
        <xdr:cNvGraphicFramePr/>
      </xdr:nvGraphicFramePr>
      <xdr:xfrm>
        <a:off x="0" y="0"/>
        <a:ext cx="8677275" cy="56388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cdr:x>
      <cdr:y>0.199</cdr:y>
    </cdr:from>
    <cdr:to>
      <cdr:x>0.198</cdr:x>
      <cdr:y>0.88375</cdr:y>
    </cdr:to>
    <cdr:sp>
      <cdr:nvSpPr>
        <cdr:cNvPr id="1" name="Line 1"/>
        <cdr:cNvSpPr>
          <a:spLocks/>
        </cdr:cNvSpPr>
      </cdr:nvSpPr>
      <cdr:spPr>
        <a:xfrm flipH="1" flipV="1">
          <a:off x="1704975" y="1219200"/>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0.28275</cdr:x>
      <cdr:y>0.1975</cdr:y>
    </cdr:from>
    <cdr:to>
      <cdr:x>0.28275</cdr:x>
      <cdr:y>0.88225</cdr:y>
    </cdr:to>
    <cdr:sp>
      <cdr:nvSpPr>
        <cdr:cNvPr id="2" name="Line 2"/>
        <cdr:cNvSpPr>
          <a:spLocks/>
        </cdr:cNvSpPr>
      </cdr:nvSpPr>
      <cdr:spPr>
        <a:xfrm flipV="1">
          <a:off x="2447925" y="1209675"/>
          <a:ext cx="0"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0.37125</cdr:x>
      <cdr:y>0.1975</cdr:y>
    </cdr:from>
    <cdr:to>
      <cdr:x>0.372</cdr:x>
      <cdr:y>0.88225</cdr:y>
    </cdr:to>
    <cdr:sp>
      <cdr:nvSpPr>
        <cdr:cNvPr id="3" name="Line 3"/>
        <cdr:cNvSpPr>
          <a:spLocks/>
        </cdr:cNvSpPr>
      </cdr:nvSpPr>
      <cdr:spPr>
        <a:xfrm flipH="1" flipV="1">
          <a:off x="3219450" y="1209675"/>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0.45775</cdr:x>
      <cdr:y>0.199</cdr:y>
    </cdr:from>
    <cdr:to>
      <cdr:x>0.45875</cdr:x>
      <cdr:y>0.8825</cdr:y>
    </cdr:to>
    <cdr:sp>
      <cdr:nvSpPr>
        <cdr:cNvPr id="4" name="Line 4"/>
        <cdr:cNvSpPr>
          <a:spLocks/>
        </cdr:cNvSpPr>
      </cdr:nvSpPr>
      <cdr:spPr>
        <a:xfrm flipH="1" flipV="1">
          <a:off x="3971925" y="1219200"/>
          <a:ext cx="9525" cy="42100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0.54525</cdr:x>
      <cdr:y>0.1975</cdr:y>
    </cdr:from>
    <cdr:to>
      <cdr:x>0.54625</cdr:x>
      <cdr:y>0.88225</cdr:y>
    </cdr:to>
    <cdr:sp>
      <cdr:nvSpPr>
        <cdr:cNvPr id="5" name="Line 5"/>
        <cdr:cNvSpPr>
          <a:spLocks/>
        </cdr:cNvSpPr>
      </cdr:nvSpPr>
      <cdr:spPr>
        <a:xfrm flipV="1">
          <a:off x="4724400" y="1209675"/>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0.6345</cdr:x>
      <cdr:y>0.19475</cdr:y>
    </cdr:from>
    <cdr:to>
      <cdr:x>0.6345</cdr:x>
      <cdr:y>0.879</cdr:y>
    </cdr:to>
    <cdr:sp>
      <cdr:nvSpPr>
        <cdr:cNvPr id="6" name="Line 6"/>
        <cdr:cNvSpPr>
          <a:spLocks/>
        </cdr:cNvSpPr>
      </cdr:nvSpPr>
      <cdr:spPr>
        <a:xfrm flipH="1" flipV="1">
          <a:off x="5505450" y="1200150"/>
          <a:ext cx="0"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0.71925</cdr:x>
      <cdr:y>0.19825</cdr:y>
    </cdr:from>
    <cdr:to>
      <cdr:x>0.71925</cdr:x>
      <cdr:y>0.87275</cdr:y>
    </cdr:to>
    <cdr:sp>
      <cdr:nvSpPr>
        <cdr:cNvPr id="7" name="Line 7"/>
        <cdr:cNvSpPr>
          <a:spLocks/>
        </cdr:cNvSpPr>
      </cdr:nvSpPr>
      <cdr:spPr>
        <a:xfrm flipH="1" flipV="1">
          <a:off x="6238875" y="1219200"/>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0.8085</cdr:x>
      <cdr:y>0.1975</cdr:y>
    </cdr:from>
    <cdr:to>
      <cdr:x>0.8085</cdr:x>
      <cdr:y>0.881</cdr:y>
    </cdr:to>
    <cdr:sp>
      <cdr:nvSpPr>
        <cdr:cNvPr id="8" name="Line 8"/>
        <cdr:cNvSpPr>
          <a:spLocks/>
        </cdr:cNvSpPr>
      </cdr:nvSpPr>
      <cdr:spPr>
        <a:xfrm flipH="1" flipV="1">
          <a:off x="7010400" y="1209675"/>
          <a:ext cx="0" cy="42100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0.8935</cdr:x>
      <cdr:y>0.1975</cdr:y>
    </cdr:from>
    <cdr:to>
      <cdr:x>0.89425</cdr:x>
      <cdr:y>0.88225</cdr:y>
    </cdr:to>
    <cdr:sp>
      <cdr:nvSpPr>
        <cdr:cNvPr id="9" name="Line 9"/>
        <cdr:cNvSpPr>
          <a:spLocks/>
        </cdr:cNvSpPr>
      </cdr:nvSpPr>
      <cdr:spPr>
        <a:xfrm flipV="1">
          <a:off x="7743825" y="1209675"/>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0.10425</cdr:x>
      <cdr:y>0.8015</cdr:y>
    </cdr:from>
    <cdr:to>
      <cdr:x>0.98975</cdr:x>
      <cdr:y>0.80225</cdr:y>
    </cdr:to>
    <cdr:sp>
      <cdr:nvSpPr>
        <cdr:cNvPr id="10" name="Line 10"/>
        <cdr:cNvSpPr>
          <a:spLocks/>
        </cdr:cNvSpPr>
      </cdr:nvSpPr>
      <cdr:spPr>
        <a:xfrm>
          <a:off x="895350" y="4933950"/>
          <a:ext cx="76866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0.10425</cdr:x>
      <cdr:y>0.72675</cdr:y>
    </cdr:from>
    <cdr:to>
      <cdr:x>0.99075</cdr:x>
      <cdr:y>0.72875</cdr:y>
    </cdr:to>
    <cdr:sp>
      <cdr:nvSpPr>
        <cdr:cNvPr id="11" name="Line 11"/>
        <cdr:cNvSpPr>
          <a:spLocks/>
        </cdr:cNvSpPr>
      </cdr:nvSpPr>
      <cdr:spPr>
        <a:xfrm>
          <a:off x="895350" y="4476750"/>
          <a:ext cx="769620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0.1025</cdr:x>
      <cdr:y>0.649</cdr:y>
    </cdr:from>
    <cdr:to>
      <cdr:x>0.987</cdr:x>
      <cdr:y>0.649</cdr:y>
    </cdr:to>
    <cdr:sp>
      <cdr:nvSpPr>
        <cdr:cNvPr id="12" name="Line 12"/>
        <cdr:cNvSpPr>
          <a:spLocks/>
        </cdr:cNvSpPr>
      </cdr:nvSpPr>
      <cdr:spPr>
        <a:xfrm>
          <a:off x="885825" y="3990975"/>
          <a:ext cx="76771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0.1025</cdr:x>
      <cdr:y>0.5735</cdr:y>
    </cdr:from>
    <cdr:to>
      <cdr:x>0.987</cdr:x>
      <cdr:y>0.5735</cdr:y>
    </cdr:to>
    <cdr:sp>
      <cdr:nvSpPr>
        <cdr:cNvPr id="13" name="Line 13"/>
        <cdr:cNvSpPr>
          <a:spLocks/>
        </cdr:cNvSpPr>
      </cdr:nvSpPr>
      <cdr:spPr>
        <a:xfrm flipV="1">
          <a:off x="885825" y="3533775"/>
          <a:ext cx="76771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0.1025</cdr:x>
      <cdr:y>0.49875</cdr:y>
    </cdr:from>
    <cdr:to>
      <cdr:x>0.98875</cdr:x>
      <cdr:y>0.49875</cdr:y>
    </cdr:to>
    <cdr:sp>
      <cdr:nvSpPr>
        <cdr:cNvPr id="14" name="Line 14"/>
        <cdr:cNvSpPr>
          <a:spLocks/>
        </cdr:cNvSpPr>
      </cdr:nvSpPr>
      <cdr:spPr>
        <a:xfrm>
          <a:off x="885825" y="3067050"/>
          <a:ext cx="76866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0.107</cdr:x>
      <cdr:y>0.41925</cdr:y>
    </cdr:from>
    <cdr:to>
      <cdr:x>0.99075</cdr:x>
      <cdr:y>0.42</cdr:y>
    </cdr:to>
    <cdr:sp>
      <cdr:nvSpPr>
        <cdr:cNvPr id="15" name="Line 15"/>
        <cdr:cNvSpPr>
          <a:spLocks/>
        </cdr:cNvSpPr>
      </cdr:nvSpPr>
      <cdr:spPr>
        <a:xfrm>
          <a:off x="923925" y="2581275"/>
          <a:ext cx="76676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0.107</cdr:x>
      <cdr:y>0.34925</cdr:y>
    </cdr:from>
    <cdr:to>
      <cdr:x>0.99275</cdr:x>
      <cdr:y>0.34925</cdr:y>
    </cdr:to>
    <cdr:sp>
      <cdr:nvSpPr>
        <cdr:cNvPr id="16" name="Line 16"/>
        <cdr:cNvSpPr>
          <a:spLocks/>
        </cdr:cNvSpPr>
      </cdr:nvSpPr>
      <cdr:spPr>
        <a:xfrm flipV="1">
          <a:off x="923925" y="2143125"/>
          <a:ext cx="76866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0.106</cdr:x>
      <cdr:y>0.27225</cdr:y>
    </cdr:from>
    <cdr:to>
      <cdr:x>0.98975</cdr:x>
      <cdr:y>0.273</cdr:y>
    </cdr:to>
    <cdr:sp>
      <cdr:nvSpPr>
        <cdr:cNvPr id="17" name="Line 17"/>
        <cdr:cNvSpPr>
          <a:spLocks/>
        </cdr:cNvSpPr>
      </cdr:nvSpPr>
      <cdr:spPr>
        <a:xfrm>
          <a:off x="914400" y="1676400"/>
          <a:ext cx="76676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0.20225</cdr:x>
      <cdr:y>0.778</cdr:y>
    </cdr:from>
    <cdr:to>
      <cdr:x>0.21225</cdr:x>
      <cdr:y>0.814</cdr:y>
    </cdr:to>
    <cdr:sp>
      <cdr:nvSpPr>
        <cdr:cNvPr id="18" name="TextBox 19"/>
        <cdr:cNvSpPr txBox="1">
          <a:spLocks noChangeArrowheads="1"/>
        </cdr:cNvSpPr>
      </cdr:nvSpPr>
      <cdr:spPr>
        <a:xfrm>
          <a:off x="1752600" y="4791075"/>
          <a:ext cx="85725" cy="219075"/>
        </a:xfrm>
        <a:prstGeom prst="rect">
          <a:avLst/>
        </a:prstGeom>
        <a:noFill/>
        <a:ln w="9525" cmpd="sng">
          <a:noFill/>
        </a:ln>
      </cdr:spPr>
      <cdr:txBody>
        <a:bodyPr vertOverflow="clip" wrap="square">
          <a:spAutoFit/>
        </a:bodyPr>
        <a:p>
          <a:pPr algn="l">
            <a:defRPr/>
          </a:pPr>
          <a:r>
            <a:rPr lang="en-US" cap="none" u="none" baseline="0">
              <a:latin typeface="Geneva"/>
              <a:ea typeface="Geneva"/>
              <a:cs typeface="Geneva"/>
            </a:rPr>
            <a:t/>
          </a:r>
        </a:p>
      </cdr:txBody>
    </cdr:sp>
  </cdr:relSizeAnchor>
  <cdr:relSizeAnchor xmlns:cdr="http://schemas.openxmlformats.org/drawingml/2006/chartDrawing">
    <cdr:from>
      <cdr:x>0.2125</cdr:x>
      <cdr:y>0.66925</cdr:y>
    </cdr:from>
    <cdr:to>
      <cdr:x>0.3435</cdr:x>
      <cdr:y>0.7145</cdr:y>
    </cdr:to>
    <cdr:sp>
      <cdr:nvSpPr>
        <cdr:cNvPr id="19" name="TextBox 20"/>
        <cdr:cNvSpPr txBox="1">
          <a:spLocks noChangeArrowheads="1"/>
        </cdr:cNvSpPr>
      </cdr:nvSpPr>
      <cdr:spPr>
        <a:xfrm>
          <a:off x="1838325" y="4124325"/>
          <a:ext cx="1133475" cy="276225"/>
        </a:xfrm>
        <a:prstGeom prst="rect">
          <a:avLst/>
        </a:prstGeom>
        <a:noFill/>
        <a:ln w="9525" cmpd="sng">
          <a:noFill/>
        </a:ln>
      </cdr:spPr>
      <cdr:txBody>
        <a:bodyPr vertOverflow="clip" wrap="square">
          <a:spAutoFit/>
        </a:bodyPr>
        <a:p>
          <a:pPr algn="l">
            <a:defRPr/>
          </a:pPr>
          <a:r>
            <a:rPr lang="en-US" cap="none" sz="1400" b="1" i="0" u="none" baseline="0"/>
            <a:t>AP Score = 1</a:t>
          </a:r>
        </a:p>
      </cdr:txBody>
    </cdr:sp>
  </cdr:relSizeAnchor>
  <cdr:relSizeAnchor xmlns:cdr="http://schemas.openxmlformats.org/drawingml/2006/chartDrawing">
    <cdr:from>
      <cdr:x>0.349</cdr:x>
      <cdr:y>0.5935</cdr:y>
    </cdr:from>
    <cdr:to>
      <cdr:x>0.48</cdr:x>
      <cdr:y>0.639</cdr:y>
    </cdr:to>
    <cdr:sp>
      <cdr:nvSpPr>
        <cdr:cNvPr id="20" name="TextBox 21"/>
        <cdr:cNvSpPr txBox="1">
          <a:spLocks noChangeArrowheads="1"/>
        </cdr:cNvSpPr>
      </cdr:nvSpPr>
      <cdr:spPr>
        <a:xfrm>
          <a:off x="3019425" y="3648075"/>
          <a:ext cx="1133475" cy="276225"/>
        </a:xfrm>
        <a:prstGeom prst="rect">
          <a:avLst/>
        </a:prstGeom>
        <a:noFill/>
        <a:ln w="9525" cmpd="sng">
          <a:noFill/>
        </a:ln>
      </cdr:spPr>
      <cdr:txBody>
        <a:bodyPr vertOverflow="clip" wrap="square">
          <a:spAutoFit/>
        </a:bodyPr>
        <a:p>
          <a:pPr algn="l">
            <a:defRPr/>
          </a:pPr>
          <a:r>
            <a:rPr lang="en-US" cap="none" sz="1400" b="1" i="0" u="none" baseline="0"/>
            <a:t>AP Score = 2</a:t>
          </a:r>
        </a:p>
      </cdr:txBody>
    </cdr:sp>
  </cdr:relSizeAnchor>
  <cdr:relSizeAnchor xmlns:cdr="http://schemas.openxmlformats.org/drawingml/2006/chartDrawing">
    <cdr:from>
      <cdr:x>0.472</cdr:x>
      <cdr:y>0.51725</cdr:y>
    </cdr:from>
    <cdr:to>
      <cdr:x>0.6285</cdr:x>
      <cdr:y>0.56275</cdr:y>
    </cdr:to>
    <cdr:sp>
      <cdr:nvSpPr>
        <cdr:cNvPr id="21" name="TextBox 22"/>
        <cdr:cNvSpPr txBox="1">
          <a:spLocks noChangeArrowheads="1"/>
        </cdr:cNvSpPr>
      </cdr:nvSpPr>
      <cdr:spPr>
        <a:xfrm>
          <a:off x="4086225" y="3181350"/>
          <a:ext cx="1362075" cy="276225"/>
        </a:xfrm>
        <a:prstGeom prst="rect">
          <a:avLst/>
        </a:prstGeom>
        <a:noFill/>
        <a:ln w="9525" cmpd="sng">
          <a:noFill/>
        </a:ln>
      </cdr:spPr>
      <cdr:txBody>
        <a:bodyPr vertOverflow="clip" wrap="square"/>
        <a:p>
          <a:pPr algn="l">
            <a:defRPr/>
          </a:pPr>
          <a:r>
            <a:rPr lang="en-US" cap="none" sz="1400" b="1" i="0" u="none" baseline="0"/>
            <a:t>AP Score = 3</a:t>
          </a:r>
        </a:p>
      </cdr:txBody>
    </cdr:sp>
  </cdr:relSizeAnchor>
  <cdr:relSizeAnchor xmlns:cdr="http://schemas.openxmlformats.org/drawingml/2006/chartDrawing">
    <cdr:from>
      <cdr:x>0.59125</cdr:x>
      <cdr:y>0.433</cdr:y>
    </cdr:from>
    <cdr:to>
      <cdr:x>0.741</cdr:x>
      <cdr:y>0.477</cdr:y>
    </cdr:to>
    <cdr:sp>
      <cdr:nvSpPr>
        <cdr:cNvPr id="22" name="TextBox 23"/>
        <cdr:cNvSpPr txBox="1">
          <a:spLocks noChangeArrowheads="1"/>
        </cdr:cNvSpPr>
      </cdr:nvSpPr>
      <cdr:spPr>
        <a:xfrm>
          <a:off x="5124450" y="2667000"/>
          <a:ext cx="1295400" cy="266700"/>
        </a:xfrm>
        <a:prstGeom prst="rect">
          <a:avLst/>
        </a:prstGeom>
        <a:noFill/>
        <a:ln w="9525" cmpd="sng">
          <a:noFill/>
        </a:ln>
      </cdr:spPr>
      <cdr:txBody>
        <a:bodyPr vertOverflow="clip" wrap="square"/>
        <a:p>
          <a:pPr algn="l">
            <a:defRPr/>
          </a:pPr>
          <a:r>
            <a:rPr lang="en-US" cap="none" sz="1400" b="1" i="0" u="none" baseline="0"/>
            <a:t>AP Score = 4</a:t>
          </a:r>
        </a:p>
      </cdr:txBody>
    </cdr:sp>
  </cdr:relSizeAnchor>
  <cdr:relSizeAnchor xmlns:cdr="http://schemas.openxmlformats.org/drawingml/2006/chartDrawing">
    <cdr:from>
      <cdr:x>0.742</cdr:x>
      <cdr:y>0.363</cdr:y>
    </cdr:from>
    <cdr:to>
      <cdr:x>0.873</cdr:x>
      <cdr:y>0.40825</cdr:y>
    </cdr:to>
    <cdr:sp>
      <cdr:nvSpPr>
        <cdr:cNvPr id="23" name="TextBox 24"/>
        <cdr:cNvSpPr txBox="1">
          <a:spLocks noChangeArrowheads="1"/>
        </cdr:cNvSpPr>
      </cdr:nvSpPr>
      <cdr:spPr>
        <a:xfrm>
          <a:off x="6429375" y="2228850"/>
          <a:ext cx="1133475" cy="276225"/>
        </a:xfrm>
        <a:prstGeom prst="rect">
          <a:avLst/>
        </a:prstGeom>
        <a:noFill/>
        <a:ln w="9525" cmpd="sng">
          <a:noFill/>
        </a:ln>
      </cdr:spPr>
      <cdr:txBody>
        <a:bodyPr vertOverflow="clip" wrap="square">
          <a:spAutoFit/>
        </a:bodyPr>
        <a:p>
          <a:pPr algn="l">
            <a:defRPr/>
          </a:pPr>
          <a:r>
            <a:rPr lang="en-US" cap="none" sz="1400" b="1" i="0" u="none" baseline="0"/>
            <a:t>AP Score = 5</a:t>
          </a:r>
        </a:p>
      </cdr:txBody>
    </cdr:sp>
  </cdr:relSizeAnchor>
  <cdr:relSizeAnchor xmlns:cdr="http://schemas.openxmlformats.org/drawingml/2006/chartDrawing">
    <cdr:from>
      <cdr:x>0.22625</cdr:x>
      <cdr:y>0.10725</cdr:y>
    </cdr:from>
    <cdr:to>
      <cdr:x>0.901</cdr:x>
      <cdr:y>0.1685</cdr:y>
    </cdr:to>
    <cdr:sp>
      <cdr:nvSpPr>
        <cdr:cNvPr id="24" name="TextBox 25"/>
        <cdr:cNvSpPr txBox="1">
          <a:spLocks noChangeArrowheads="1"/>
        </cdr:cNvSpPr>
      </cdr:nvSpPr>
      <cdr:spPr>
        <a:xfrm>
          <a:off x="1962150" y="657225"/>
          <a:ext cx="5857875" cy="381000"/>
        </a:xfrm>
        <a:prstGeom prst="rect">
          <a:avLst/>
        </a:prstGeom>
        <a:noFill/>
        <a:ln w="9525" cmpd="sng">
          <a:noFill/>
        </a:ln>
      </cdr:spPr>
      <cdr:txBody>
        <a:bodyPr vertOverflow="clip" wrap="square"/>
        <a:p>
          <a:pPr algn="ctr">
            <a:defRPr/>
          </a:pPr>
          <a:r>
            <a:rPr lang="en-US" cap="none" sz="1000" b="0" i="0" u="none" baseline="0"/>
            <a:t>Note: The precise boundaries between each score change slightly each year.
This graph is intended only as an approximate guide.</a:t>
          </a:r>
        </a:p>
      </cdr:txBody>
    </cdr:sp>
  </cdr:relSizeAnchor>
  <cdr:relSizeAnchor xmlns:cdr="http://schemas.openxmlformats.org/drawingml/2006/chartDrawing">
    <cdr:from>
      <cdr:x>0.11375</cdr:x>
      <cdr:y>0.41975</cdr:y>
    </cdr:from>
    <cdr:to>
      <cdr:x>0.282</cdr:x>
      <cdr:y>0.5065</cdr:y>
    </cdr:to>
    <cdr:sp>
      <cdr:nvSpPr>
        <cdr:cNvPr id="25" name="TextBox 26"/>
        <cdr:cNvSpPr txBox="1">
          <a:spLocks noChangeArrowheads="1"/>
        </cdr:cNvSpPr>
      </cdr:nvSpPr>
      <cdr:spPr>
        <a:xfrm>
          <a:off x="981075" y="2581275"/>
          <a:ext cx="1457325" cy="533400"/>
        </a:xfrm>
        <a:prstGeom prst="rect">
          <a:avLst/>
        </a:prstGeom>
        <a:noFill/>
        <a:ln w="9525" cmpd="sng">
          <a:noFill/>
        </a:ln>
      </cdr:spPr>
      <cdr:txBody>
        <a:bodyPr vertOverflow="clip" wrap="square">
          <a:spAutoFit/>
        </a:bodyPr>
        <a:p>
          <a:pPr algn="l">
            <a:defRPr/>
          </a:pPr>
          <a:r>
            <a:rPr lang="en-US" cap="none" sz="1000" b="0" i="0" u="none" baseline="0"/>
            <a:t>Note: MC section scores
below 20% are rounded
off to zero.</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162675"/>
    <xdr:graphicFrame>
      <xdr:nvGraphicFramePr>
        <xdr:cNvPr id="1" name="Shape 1025"/>
        <xdr:cNvGraphicFramePr/>
      </xdr:nvGraphicFramePr>
      <xdr:xfrm>
        <a:off x="0" y="0"/>
        <a:ext cx="8677275" cy="61626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cdr:x>
      <cdr:y>0.199</cdr:y>
    </cdr:from>
    <cdr:to>
      <cdr:x>0.198</cdr:x>
      <cdr:y>0.88375</cdr:y>
    </cdr:to>
    <cdr:sp>
      <cdr:nvSpPr>
        <cdr:cNvPr id="1" name="Line 1"/>
        <cdr:cNvSpPr>
          <a:spLocks/>
        </cdr:cNvSpPr>
      </cdr:nvSpPr>
      <cdr:spPr>
        <a:xfrm flipH="1" flipV="1">
          <a:off x="1704975" y="1219200"/>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0.28275</cdr:x>
      <cdr:y>0.1975</cdr:y>
    </cdr:from>
    <cdr:to>
      <cdr:x>0.28275</cdr:x>
      <cdr:y>0.88225</cdr:y>
    </cdr:to>
    <cdr:sp>
      <cdr:nvSpPr>
        <cdr:cNvPr id="2" name="Line 2"/>
        <cdr:cNvSpPr>
          <a:spLocks/>
        </cdr:cNvSpPr>
      </cdr:nvSpPr>
      <cdr:spPr>
        <a:xfrm flipV="1">
          <a:off x="2447925" y="1209675"/>
          <a:ext cx="0"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0.37125</cdr:x>
      <cdr:y>0.1975</cdr:y>
    </cdr:from>
    <cdr:to>
      <cdr:x>0.372</cdr:x>
      <cdr:y>0.88225</cdr:y>
    </cdr:to>
    <cdr:sp>
      <cdr:nvSpPr>
        <cdr:cNvPr id="3" name="Line 3"/>
        <cdr:cNvSpPr>
          <a:spLocks/>
        </cdr:cNvSpPr>
      </cdr:nvSpPr>
      <cdr:spPr>
        <a:xfrm flipH="1" flipV="1">
          <a:off x="3219450" y="1209675"/>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0.45775</cdr:x>
      <cdr:y>0.199</cdr:y>
    </cdr:from>
    <cdr:to>
      <cdr:x>0.45875</cdr:x>
      <cdr:y>0.8825</cdr:y>
    </cdr:to>
    <cdr:sp>
      <cdr:nvSpPr>
        <cdr:cNvPr id="4" name="Line 4"/>
        <cdr:cNvSpPr>
          <a:spLocks/>
        </cdr:cNvSpPr>
      </cdr:nvSpPr>
      <cdr:spPr>
        <a:xfrm flipH="1" flipV="1">
          <a:off x="3971925" y="1219200"/>
          <a:ext cx="9525" cy="42100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0.54525</cdr:x>
      <cdr:y>0.1975</cdr:y>
    </cdr:from>
    <cdr:to>
      <cdr:x>0.54625</cdr:x>
      <cdr:y>0.88225</cdr:y>
    </cdr:to>
    <cdr:sp>
      <cdr:nvSpPr>
        <cdr:cNvPr id="5" name="Line 5"/>
        <cdr:cNvSpPr>
          <a:spLocks/>
        </cdr:cNvSpPr>
      </cdr:nvSpPr>
      <cdr:spPr>
        <a:xfrm flipV="1">
          <a:off x="4724400" y="1209675"/>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0.6345</cdr:x>
      <cdr:y>0.19475</cdr:y>
    </cdr:from>
    <cdr:to>
      <cdr:x>0.6345</cdr:x>
      <cdr:y>0.879</cdr:y>
    </cdr:to>
    <cdr:sp>
      <cdr:nvSpPr>
        <cdr:cNvPr id="6" name="Line 6"/>
        <cdr:cNvSpPr>
          <a:spLocks/>
        </cdr:cNvSpPr>
      </cdr:nvSpPr>
      <cdr:spPr>
        <a:xfrm flipH="1" flipV="1">
          <a:off x="5505450" y="1200150"/>
          <a:ext cx="0"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0.71925</cdr:x>
      <cdr:y>0.19825</cdr:y>
    </cdr:from>
    <cdr:to>
      <cdr:x>0.71925</cdr:x>
      <cdr:y>0.87275</cdr:y>
    </cdr:to>
    <cdr:sp>
      <cdr:nvSpPr>
        <cdr:cNvPr id="7" name="Line 7"/>
        <cdr:cNvSpPr>
          <a:spLocks/>
        </cdr:cNvSpPr>
      </cdr:nvSpPr>
      <cdr:spPr>
        <a:xfrm flipH="1" flipV="1">
          <a:off x="6238875" y="1219200"/>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0.8085</cdr:x>
      <cdr:y>0.1975</cdr:y>
    </cdr:from>
    <cdr:to>
      <cdr:x>0.8085</cdr:x>
      <cdr:y>0.881</cdr:y>
    </cdr:to>
    <cdr:sp>
      <cdr:nvSpPr>
        <cdr:cNvPr id="8" name="Line 8"/>
        <cdr:cNvSpPr>
          <a:spLocks/>
        </cdr:cNvSpPr>
      </cdr:nvSpPr>
      <cdr:spPr>
        <a:xfrm flipH="1" flipV="1">
          <a:off x="7010400" y="1209675"/>
          <a:ext cx="0" cy="42100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0.8935</cdr:x>
      <cdr:y>0.1975</cdr:y>
    </cdr:from>
    <cdr:to>
      <cdr:x>0.89425</cdr:x>
      <cdr:y>0.88225</cdr:y>
    </cdr:to>
    <cdr:sp>
      <cdr:nvSpPr>
        <cdr:cNvPr id="9" name="Line 9"/>
        <cdr:cNvSpPr>
          <a:spLocks/>
        </cdr:cNvSpPr>
      </cdr:nvSpPr>
      <cdr:spPr>
        <a:xfrm flipV="1">
          <a:off x="7743825" y="1209675"/>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0.10425</cdr:x>
      <cdr:y>0.8015</cdr:y>
    </cdr:from>
    <cdr:to>
      <cdr:x>0.98975</cdr:x>
      <cdr:y>0.80225</cdr:y>
    </cdr:to>
    <cdr:sp>
      <cdr:nvSpPr>
        <cdr:cNvPr id="10" name="Line 10"/>
        <cdr:cNvSpPr>
          <a:spLocks/>
        </cdr:cNvSpPr>
      </cdr:nvSpPr>
      <cdr:spPr>
        <a:xfrm>
          <a:off x="895350" y="4933950"/>
          <a:ext cx="76866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0.10425</cdr:x>
      <cdr:y>0.72675</cdr:y>
    </cdr:from>
    <cdr:to>
      <cdr:x>0.99075</cdr:x>
      <cdr:y>0.72875</cdr:y>
    </cdr:to>
    <cdr:sp>
      <cdr:nvSpPr>
        <cdr:cNvPr id="11" name="Line 11"/>
        <cdr:cNvSpPr>
          <a:spLocks/>
        </cdr:cNvSpPr>
      </cdr:nvSpPr>
      <cdr:spPr>
        <a:xfrm>
          <a:off x="895350" y="4476750"/>
          <a:ext cx="769620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0.1025</cdr:x>
      <cdr:y>0.649</cdr:y>
    </cdr:from>
    <cdr:to>
      <cdr:x>0.987</cdr:x>
      <cdr:y>0.649</cdr:y>
    </cdr:to>
    <cdr:sp>
      <cdr:nvSpPr>
        <cdr:cNvPr id="12" name="Line 12"/>
        <cdr:cNvSpPr>
          <a:spLocks/>
        </cdr:cNvSpPr>
      </cdr:nvSpPr>
      <cdr:spPr>
        <a:xfrm>
          <a:off x="885825" y="3990975"/>
          <a:ext cx="76771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0.1025</cdr:x>
      <cdr:y>0.5735</cdr:y>
    </cdr:from>
    <cdr:to>
      <cdr:x>0.987</cdr:x>
      <cdr:y>0.5735</cdr:y>
    </cdr:to>
    <cdr:sp>
      <cdr:nvSpPr>
        <cdr:cNvPr id="13" name="Line 13"/>
        <cdr:cNvSpPr>
          <a:spLocks/>
        </cdr:cNvSpPr>
      </cdr:nvSpPr>
      <cdr:spPr>
        <a:xfrm flipV="1">
          <a:off x="885825" y="3533775"/>
          <a:ext cx="76771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0.1025</cdr:x>
      <cdr:y>0.49875</cdr:y>
    </cdr:from>
    <cdr:to>
      <cdr:x>0.98875</cdr:x>
      <cdr:y>0.49875</cdr:y>
    </cdr:to>
    <cdr:sp>
      <cdr:nvSpPr>
        <cdr:cNvPr id="14" name="Line 14"/>
        <cdr:cNvSpPr>
          <a:spLocks/>
        </cdr:cNvSpPr>
      </cdr:nvSpPr>
      <cdr:spPr>
        <a:xfrm>
          <a:off x="885825" y="3067050"/>
          <a:ext cx="76866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0.107</cdr:x>
      <cdr:y>0.41925</cdr:y>
    </cdr:from>
    <cdr:to>
      <cdr:x>0.99075</cdr:x>
      <cdr:y>0.42</cdr:y>
    </cdr:to>
    <cdr:sp>
      <cdr:nvSpPr>
        <cdr:cNvPr id="15" name="Line 15"/>
        <cdr:cNvSpPr>
          <a:spLocks/>
        </cdr:cNvSpPr>
      </cdr:nvSpPr>
      <cdr:spPr>
        <a:xfrm>
          <a:off x="923925" y="2581275"/>
          <a:ext cx="76676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0.107</cdr:x>
      <cdr:y>0.34925</cdr:y>
    </cdr:from>
    <cdr:to>
      <cdr:x>0.99275</cdr:x>
      <cdr:y>0.34925</cdr:y>
    </cdr:to>
    <cdr:sp>
      <cdr:nvSpPr>
        <cdr:cNvPr id="16" name="Line 16"/>
        <cdr:cNvSpPr>
          <a:spLocks/>
        </cdr:cNvSpPr>
      </cdr:nvSpPr>
      <cdr:spPr>
        <a:xfrm flipV="1">
          <a:off x="923925" y="2143125"/>
          <a:ext cx="76866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0.106</cdr:x>
      <cdr:y>0.27225</cdr:y>
    </cdr:from>
    <cdr:to>
      <cdr:x>0.98975</cdr:x>
      <cdr:y>0.273</cdr:y>
    </cdr:to>
    <cdr:sp>
      <cdr:nvSpPr>
        <cdr:cNvPr id="17" name="Line 17"/>
        <cdr:cNvSpPr>
          <a:spLocks/>
        </cdr:cNvSpPr>
      </cdr:nvSpPr>
      <cdr:spPr>
        <a:xfrm>
          <a:off x="914400" y="1676400"/>
          <a:ext cx="76676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0.20225</cdr:x>
      <cdr:y>0.778</cdr:y>
    </cdr:from>
    <cdr:to>
      <cdr:x>0.21225</cdr:x>
      <cdr:y>0.814</cdr:y>
    </cdr:to>
    <cdr:sp>
      <cdr:nvSpPr>
        <cdr:cNvPr id="18" name="TextBox 18"/>
        <cdr:cNvSpPr txBox="1">
          <a:spLocks noChangeArrowheads="1"/>
        </cdr:cNvSpPr>
      </cdr:nvSpPr>
      <cdr:spPr>
        <a:xfrm>
          <a:off x="1752600" y="4791075"/>
          <a:ext cx="85725" cy="219075"/>
        </a:xfrm>
        <a:prstGeom prst="rect">
          <a:avLst/>
        </a:prstGeom>
        <a:noFill/>
        <a:ln w="9525" cmpd="sng">
          <a:noFill/>
        </a:ln>
      </cdr:spPr>
      <cdr:txBody>
        <a:bodyPr vertOverflow="clip" wrap="square">
          <a:spAutoFit/>
        </a:bodyPr>
        <a:p>
          <a:pPr algn="l">
            <a:defRPr/>
          </a:pPr>
          <a:r>
            <a:rPr lang="en-US" cap="none" u="none" baseline="0">
              <a:latin typeface="Geneva"/>
              <a:ea typeface="Geneva"/>
              <a:cs typeface="Geneva"/>
            </a:rPr>
            <a:t/>
          </a:r>
        </a:p>
      </cdr:txBody>
    </cdr:sp>
  </cdr:relSizeAnchor>
  <cdr:relSizeAnchor xmlns:cdr="http://schemas.openxmlformats.org/drawingml/2006/chartDrawing">
    <cdr:from>
      <cdr:x>0.2125</cdr:x>
      <cdr:y>0.66925</cdr:y>
    </cdr:from>
    <cdr:to>
      <cdr:x>0.3435</cdr:x>
      <cdr:y>0.7145</cdr:y>
    </cdr:to>
    <cdr:sp>
      <cdr:nvSpPr>
        <cdr:cNvPr id="19" name="TextBox 19"/>
        <cdr:cNvSpPr txBox="1">
          <a:spLocks noChangeArrowheads="1"/>
        </cdr:cNvSpPr>
      </cdr:nvSpPr>
      <cdr:spPr>
        <a:xfrm>
          <a:off x="1838325" y="4124325"/>
          <a:ext cx="1133475" cy="276225"/>
        </a:xfrm>
        <a:prstGeom prst="rect">
          <a:avLst/>
        </a:prstGeom>
        <a:noFill/>
        <a:ln w="9525" cmpd="sng">
          <a:noFill/>
        </a:ln>
      </cdr:spPr>
      <cdr:txBody>
        <a:bodyPr vertOverflow="clip" wrap="square">
          <a:spAutoFit/>
        </a:bodyPr>
        <a:p>
          <a:pPr algn="l">
            <a:defRPr/>
          </a:pPr>
          <a:r>
            <a:rPr lang="en-US" cap="none" sz="1400" b="1" i="0" u="none" baseline="0"/>
            <a:t>AP Score = 1</a:t>
          </a:r>
        </a:p>
      </cdr:txBody>
    </cdr:sp>
  </cdr:relSizeAnchor>
  <cdr:relSizeAnchor xmlns:cdr="http://schemas.openxmlformats.org/drawingml/2006/chartDrawing">
    <cdr:from>
      <cdr:x>0.349</cdr:x>
      <cdr:y>0.5935</cdr:y>
    </cdr:from>
    <cdr:to>
      <cdr:x>0.48</cdr:x>
      <cdr:y>0.639</cdr:y>
    </cdr:to>
    <cdr:sp>
      <cdr:nvSpPr>
        <cdr:cNvPr id="20" name="TextBox 20"/>
        <cdr:cNvSpPr txBox="1">
          <a:spLocks noChangeArrowheads="1"/>
        </cdr:cNvSpPr>
      </cdr:nvSpPr>
      <cdr:spPr>
        <a:xfrm>
          <a:off x="3019425" y="3648075"/>
          <a:ext cx="1133475" cy="276225"/>
        </a:xfrm>
        <a:prstGeom prst="rect">
          <a:avLst/>
        </a:prstGeom>
        <a:noFill/>
        <a:ln w="9525" cmpd="sng">
          <a:noFill/>
        </a:ln>
      </cdr:spPr>
      <cdr:txBody>
        <a:bodyPr vertOverflow="clip" wrap="square">
          <a:spAutoFit/>
        </a:bodyPr>
        <a:p>
          <a:pPr algn="l">
            <a:defRPr/>
          </a:pPr>
          <a:r>
            <a:rPr lang="en-US" cap="none" sz="1400" b="1" i="0" u="none" baseline="0"/>
            <a:t>AP Score = 2</a:t>
          </a:r>
        </a:p>
      </cdr:txBody>
    </cdr:sp>
  </cdr:relSizeAnchor>
  <cdr:relSizeAnchor xmlns:cdr="http://schemas.openxmlformats.org/drawingml/2006/chartDrawing">
    <cdr:from>
      <cdr:x>0.472</cdr:x>
      <cdr:y>0.51725</cdr:y>
    </cdr:from>
    <cdr:to>
      <cdr:x>0.6285</cdr:x>
      <cdr:y>0.56275</cdr:y>
    </cdr:to>
    <cdr:sp>
      <cdr:nvSpPr>
        <cdr:cNvPr id="21" name="TextBox 21"/>
        <cdr:cNvSpPr txBox="1">
          <a:spLocks noChangeArrowheads="1"/>
        </cdr:cNvSpPr>
      </cdr:nvSpPr>
      <cdr:spPr>
        <a:xfrm>
          <a:off x="4086225" y="3181350"/>
          <a:ext cx="1362075" cy="276225"/>
        </a:xfrm>
        <a:prstGeom prst="rect">
          <a:avLst/>
        </a:prstGeom>
        <a:noFill/>
        <a:ln w="9525" cmpd="sng">
          <a:noFill/>
        </a:ln>
      </cdr:spPr>
      <cdr:txBody>
        <a:bodyPr vertOverflow="clip" wrap="square"/>
        <a:p>
          <a:pPr algn="l">
            <a:defRPr/>
          </a:pPr>
          <a:r>
            <a:rPr lang="en-US" cap="none" sz="1400" b="1" i="0" u="none" baseline="0"/>
            <a:t>AP Score = 3</a:t>
          </a:r>
        </a:p>
      </cdr:txBody>
    </cdr:sp>
  </cdr:relSizeAnchor>
  <cdr:relSizeAnchor xmlns:cdr="http://schemas.openxmlformats.org/drawingml/2006/chartDrawing">
    <cdr:from>
      <cdr:x>0.57975</cdr:x>
      <cdr:y>0.4445</cdr:y>
    </cdr:from>
    <cdr:to>
      <cdr:x>0.7295</cdr:x>
      <cdr:y>0.4885</cdr:y>
    </cdr:to>
    <cdr:sp>
      <cdr:nvSpPr>
        <cdr:cNvPr id="22" name="TextBox 22"/>
        <cdr:cNvSpPr txBox="1">
          <a:spLocks noChangeArrowheads="1"/>
        </cdr:cNvSpPr>
      </cdr:nvSpPr>
      <cdr:spPr>
        <a:xfrm>
          <a:off x="5029200" y="2733675"/>
          <a:ext cx="1295400" cy="266700"/>
        </a:xfrm>
        <a:prstGeom prst="rect">
          <a:avLst/>
        </a:prstGeom>
        <a:noFill/>
        <a:ln w="9525" cmpd="sng">
          <a:noFill/>
        </a:ln>
      </cdr:spPr>
      <cdr:txBody>
        <a:bodyPr vertOverflow="clip" wrap="square"/>
        <a:p>
          <a:pPr algn="l">
            <a:defRPr/>
          </a:pPr>
          <a:r>
            <a:rPr lang="en-US" cap="none" sz="1400" b="1" i="0" u="none" baseline="0"/>
            <a:t>AP Score = 4</a:t>
          </a:r>
        </a:p>
      </cdr:txBody>
    </cdr:sp>
  </cdr:relSizeAnchor>
  <cdr:relSizeAnchor xmlns:cdr="http://schemas.openxmlformats.org/drawingml/2006/chartDrawing">
    <cdr:from>
      <cdr:x>0.742</cdr:x>
      <cdr:y>0.363</cdr:y>
    </cdr:from>
    <cdr:to>
      <cdr:x>0.873</cdr:x>
      <cdr:y>0.40825</cdr:y>
    </cdr:to>
    <cdr:sp>
      <cdr:nvSpPr>
        <cdr:cNvPr id="23" name="TextBox 23"/>
        <cdr:cNvSpPr txBox="1">
          <a:spLocks noChangeArrowheads="1"/>
        </cdr:cNvSpPr>
      </cdr:nvSpPr>
      <cdr:spPr>
        <a:xfrm>
          <a:off x="6429375" y="2228850"/>
          <a:ext cx="1133475" cy="276225"/>
        </a:xfrm>
        <a:prstGeom prst="rect">
          <a:avLst/>
        </a:prstGeom>
        <a:noFill/>
        <a:ln w="9525" cmpd="sng">
          <a:noFill/>
        </a:ln>
      </cdr:spPr>
      <cdr:txBody>
        <a:bodyPr vertOverflow="clip" wrap="square">
          <a:spAutoFit/>
        </a:bodyPr>
        <a:p>
          <a:pPr algn="l">
            <a:defRPr/>
          </a:pPr>
          <a:r>
            <a:rPr lang="en-US" cap="none" sz="1400" b="1" i="0" u="none" baseline="0"/>
            <a:t>AP Score = 5</a:t>
          </a:r>
        </a:p>
      </cdr:txBody>
    </cdr:sp>
  </cdr:relSizeAnchor>
  <cdr:relSizeAnchor xmlns:cdr="http://schemas.openxmlformats.org/drawingml/2006/chartDrawing">
    <cdr:from>
      <cdr:x>0.22625</cdr:x>
      <cdr:y>0.10725</cdr:y>
    </cdr:from>
    <cdr:to>
      <cdr:x>0.901</cdr:x>
      <cdr:y>0.1685</cdr:y>
    </cdr:to>
    <cdr:sp>
      <cdr:nvSpPr>
        <cdr:cNvPr id="24" name="TextBox 24"/>
        <cdr:cNvSpPr txBox="1">
          <a:spLocks noChangeArrowheads="1"/>
        </cdr:cNvSpPr>
      </cdr:nvSpPr>
      <cdr:spPr>
        <a:xfrm>
          <a:off x="1962150" y="657225"/>
          <a:ext cx="5857875" cy="381000"/>
        </a:xfrm>
        <a:prstGeom prst="rect">
          <a:avLst/>
        </a:prstGeom>
        <a:noFill/>
        <a:ln w="9525" cmpd="sng">
          <a:noFill/>
        </a:ln>
      </cdr:spPr>
      <cdr:txBody>
        <a:bodyPr vertOverflow="clip" wrap="square"/>
        <a:p>
          <a:pPr algn="ctr">
            <a:defRPr/>
          </a:pPr>
          <a:r>
            <a:rPr lang="en-US" cap="none" sz="1000" b="0" i="0" u="none" baseline="0"/>
            <a:t>Note: The precise boundaries between each score change slightly each year.
This graph is intended only as an approximate guide.</a:t>
          </a:r>
        </a:p>
      </cdr:txBody>
    </cdr:sp>
  </cdr:relSizeAnchor>
  <cdr:relSizeAnchor xmlns:cdr="http://schemas.openxmlformats.org/drawingml/2006/chartDrawing">
    <cdr:from>
      <cdr:x>0.11375</cdr:x>
      <cdr:y>0.41975</cdr:y>
    </cdr:from>
    <cdr:to>
      <cdr:x>0.282</cdr:x>
      <cdr:y>0.5065</cdr:y>
    </cdr:to>
    <cdr:sp>
      <cdr:nvSpPr>
        <cdr:cNvPr id="25" name="TextBox 25"/>
        <cdr:cNvSpPr txBox="1">
          <a:spLocks noChangeArrowheads="1"/>
        </cdr:cNvSpPr>
      </cdr:nvSpPr>
      <cdr:spPr>
        <a:xfrm>
          <a:off x="981075" y="2581275"/>
          <a:ext cx="1457325" cy="533400"/>
        </a:xfrm>
        <a:prstGeom prst="rect">
          <a:avLst/>
        </a:prstGeom>
        <a:noFill/>
        <a:ln w="9525" cmpd="sng">
          <a:noFill/>
        </a:ln>
      </cdr:spPr>
      <cdr:txBody>
        <a:bodyPr vertOverflow="clip" wrap="square">
          <a:spAutoFit/>
        </a:bodyPr>
        <a:p>
          <a:pPr algn="l">
            <a:defRPr/>
          </a:pPr>
          <a:r>
            <a:rPr lang="en-US" cap="none" sz="1000" b="0" i="0" u="none" baseline="0"/>
            <a:t>Note: MC section scores
below 20% are rounded
off to zero.</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162675"/>
    <xdr:graphicFrame>
      <xdr:nvGraphicFramePr>
        <xdr:cNvPr id="1" name="Shape 1025"/>
        <xdr:cNvGraphicFramePr/>
      </xdr:nvGraphicFramePr>
      <xdr:xfrm>
        <a:off x="0" y="0"/>
        <a:ext cx="8677275" cy="616267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cdr:x>
      <cdr:y>0.199</cdr:y>
    </cdr:from>
    <cdr:to>
      <cdr:x>0.198</cdr:x>
      <cdr:y>0.88375</cdr:y>
    </cdr:to>
    <cdr:sp>
      <cdr:nvSpPr>
        <cdr:cNvPr id="1" name="Line 1"/>
        <cdr:cNvSpPr>
          <a:spLocks/>
        </cdr:cNvSpPr>
      </cdr:nvSpPr>
      <cdr:spPr>
        <a:xfrm flipH="1" flipV="1">
          <a:off x="1704975" y="1219200"/>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0.28275</cdr:x>
      <cdr:y>0.1975</cdr:y>
    </cdr:from>
    <cdr:to>
      <cdr:x>0.28275</cdr:x>
      <cdr:y>0.88225</cdr:y>
    </cdr:to>
    <cdr:sp>
      <cdr:nvSpPr>
        <cdr:cNvPr id="2" name="Line 2"/>
        <cdr:cNvSpPr>
          <a:spLocks/>
        </cdr:cNvSpPr>
      </cdr:nvSpPr>
      <cdr:spPr>
        <a:xfrm flipV="1">
          <a:off x="2447925" y="1209675"/>
          <a:ext cx="0"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0.37125</cdr:x>
      <cdr:y>0.1975</cdr:y>
    </cdr:from>
    <cdr:to>
      <cdr:x>0.372</cdr:x>
      <cdr:y>0.88225</cdr:y>
    </cdr:to>
    <cdr:sp>
      <cdr:nvSpPr>
        <cdr:cNvPr id="3" name="Line 3"/>
        <cdr:cNvSpPr>
          <a:spLocks/>
        </cdr:cNvSpPr>
      </cdr:nvSpPr>
      <cdr:spPr>
        <a:xfrm flipH="1" flipV="1">
          <a:off x="3219450" y="1209675"/>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0.45775</cdr:x>
      <cdr:y>0.199</cdr:y>
    </cdr:from>
    <cdr:to>
      <cdr:x>0.45875</cdr:x>
      <cdr:y>0.8825</cdr:y>
    </cdr:to>
    <cdr:sp>
      <cdr:nvSpPr>
        <cdr:cNvPr id="4" name="Line 4"/>
        <cdr:cNvSpPr>
          <a:spLocks/>
        </cdr:cNvSpPr>
      </cdr:nvSpPr>
      <cdr:spPr>
        <a:xfrm flipH="1" flipV="1">
          <a:off x="3971925" y="1219200"/>
          <a:ext cx="9525" cy="42100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0.54525</cdr:x>
      <cdr:y>0.1975</cdr:y>
    </cdr:from>
    <cdr:to>
      <cdr:x>0.54625</cdr:x>
      <cdr:y>0.88225</cdr:y>
    </cdr:to>
    <cdr:sp>
      <cdr:nvSpPr>
        <cdr:cNvPr id="5" name="Line 5"/>
        <cdr:cNvSpPr>
          <a:spLocks/>
        </cdr:cNvSpPr>
      </cdr:nvSpPr>
      <cdr:spPr>
        <a:xfrm flipV="1">
          <a:off x="4724400" y="1209675"/>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0.6345</cdr:x>
      <cdr:y>0.19475</cdr:y>
    </cdr:from>
    <cdr:to>
      <cdr:x>0.6345</cdr:x>
      <cdr:y>0.879</cdr:y>
    </cdr:to>
    <cdr:sp>
      <cdr:nvSpPr>
        <cdr:cNvPr id="6" name="Line 6"/>
        <cdr:cNvSpPr>
          <a:spLocks/>
        </cdr:cNvSpPr>
      </cdr:nvSpPr>
      <cdr:spPr>
        <a:xfrm flipH="1" flipV="1">
          <a:off x="5505450" y="1200150"/>
          <a:ext cx="0"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0.71925</cdr:x>
      <cdr:y>0.19825</cdr:y>
    </cdr:from>
    <cdr:to>
      <cdr:x>0.71925</cdr:x>
      <cdr:y>0.87275</cdr:y>
    </cdr:to>
    <cdr:sp>
      <cdr:nvSpPr>
        <cdr:cNvPr id="7" name="Line 7"/>
        <cdr:cNvSpPr>
          <a:spLocks/>
        </cdr:cNvSpPr>
      </cdr:nvSpPr>
      <cdr:spPr>
        <a:xfrm flipH="1" flipV="1">
          <a:off x="6238875" y="1219200"/>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0.8085</cdr:x>
      <cdr:y>0.1975</cdr:y>
    </cdr:from>
    <cdr:to>
      <cdr:x>0.8085</cdr:x>
      <cdr:y>0.881</cdr:y>
    </cdr:to>
    <cdr:sp>
      <cdr:nvSpPr>
        <cdr:cNvPr id="8" name="Line 8"/>
        <cdr:cNvSpPr>
          <a:spLocks/>
        </cdr:cNvSpPr>
      </cdr:nvSpPr>
      <cdr:spPr>
        <a:xfrm flipH="1" flipV="1">
          <a:off x="7010400" y="1209675"/>
          <a:ext cx="0" cy="42100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0.8935</cdr:x>
      <cdr:y>0.1975</cdr:y>
    </cdr:from>
    <cdr:to>
      <cdr:x>0.89425</cdr:x>
      <cdr:y>0.88225</cdr:y>
    </cdr:to>
    <cdr:sp>
      <cdr:nvSpPr>
        <cdr:cNvPr id="9" name="Line 9"/>
        <cdr:cNvSpPr>
          <a:spLocks/>
        </cdr:cNvSpPr>
      </cdr:nvSpPr>
      <cdr:spPr>
        <a:xfrm flipV="1">
          <a:off x="7743825" y="1209675"/>
          <a:ext cx="9525" cy="42195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0.10425</cdr:x>
      <cdr:y>0.8015</cdr:y>
    </cdr:from>
    <cdr:to>
      <cdr:x>0.98975</cdr:x>
      <cdr:y>0.80225</cdr:y>
    </cdr:to>
    <cdr:sp>
      <cdr:nvSpPr>
        <cdr:cNvPr id="10" name="Line 10"/>
        <cdr:cNvSpPr>
          <a:spLocks/>
        </cdr:cNvSpPr>
      </cdr:nvSpPr>
      <cdr:spPr>
        <a:xfrm>
          <a:off x="895350" y="4933950"/>
          <a:ext cx="76866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0.10425</cdr:x>
      <cdr:y>0.72675</cdr:y>
    </cdr:from>
    <cdr:to>
      <cdr:x>0.99075</cdr:x>
      <cdr:y>0.72875</cdr:y>
    </cdr:to>
    <cdr:sp>
      <cdr:nvSpPr>
        <cdr:cNvPr id="11" name="Line 11"/>
        <cdr:cNvSpPr>
          <a:spLocks/>
        </cdr:cNvSpPr>
      </cdr:nvSpPr>
      <cdr:spPr>
        <a:xfrm>
          <a:off x="895350" y="4476750"/>
          <a:ext cx="769620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0.1025</cdr:x>
      <cdr:y>0.649</cdr:y>
    </cdr:from>
    <cdr:to>
      <cdr:x>0.987</cdr:x>
      <cdr:y>0.649</cdr:y>
    </cdr:to>
    <cdr:sp>
      <cdr:nvSpPr>
        <cdr:cNvPr id="12" name="Line 12"/>
        <cdr:cNvSpPr>
          <a:spLocks/>
        </cdr:cNvSpPr>
      </cdr:nvSpPr>
      <cdr:spPr>
        <a:xfrm>
          <a:off x="885825" y="3990975"/>
          <a:ext cx="76771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0.1025</cdr:x>
      <cdr:y>0.5735</cdr:y>
    </cdr:from>
    <cdr:to>
      <cdr:x>0.987</cdr:x>
      <cdr:y>0.5735</cdr:y>
    </cdr:to>
    <cdr:sp>
      <cdr:nvSpPr>
        <cdr:cNvPr id="13" name="Line 13"/>
        <cdr:cNvSpPr>
          <a:spLocks/>
        </cdr:cNvSpPr>
      </cdr:nvSpPr>
      <cdr:spPr>
        <a:xfrm flipV="1">
          <a:off x="885825" y="3533775"/>
          <a:ext cx="76771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0.1025</cdr:x>
      <cdr:y>0.49875</cdr:y>
    </cdr:from>
    <cdr:to>
      <cdr:x>0.98875</cdr:x>
      <cdr:y>0.49875</cdr:y>
    </cdr:to>
    <cdr:sp>
      <cdr:nvSpPr>
        <cdr:cNvPr id="14" name="Line 14"/>
        <cdr:cNvSpPr>
          <a:spLocks/>
        </cdr:cNvSpPr>
      </cdr:nvSpPr>
      <cdr:spPr>
        <a:xfrm>
          <a:off x="885825" y="3067050"/>
          <a:ext cx="76866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0.107</cdr:x>
      <cdr:y>0.41925</cdr:y>
    </cdr:from>
    <cdr:to>
      <cdr:x>0.99075</cdr:x>
      <cdr:y>0.42</cdr:y>
    </cdr:to>
    <cdr:sp>
      <cdr:nvSpPr>
        <cdr:cNvPr id="15" name="Line 15"/>
        <cdr:cNvSpPr>
          <a:spLocks/>
        </cdr:cNvSpPr>
      </cdr:nvSpPr>
      <cdr:spPr>
        <a:xfrm>
          <a:off x="923925" y="2581275"/>
          <a:ext cx="76676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0.107</cdr:x>
      <cdr:y>0.34925</cdr:y>
    </cdr:from>
    <cdr:to>
      <cdr:x>0.99275</cdr:x>
      <cdr:y>0.34925</cdr:y>
    </cdr:to>
    <cdr:sp>
      <cdr:nvSpPr>
        <cdr:cNvPr id="16" name="Line 16"/>
        <cdr:cNvSpPr>
          <a:spLocks/>
        </cdr:cNvSpPr>
      </cdr:nvSpPr>
      <cdr:spPr>
        <a:xfrm flipV="1">
          <a:off x="923925" y="2143125"/>
          <a:ext cx="76866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0.106</cdr:x>
      <cdr:y>0.27225</cdr:y>
    </cdr:from>
    <cdr:to>
      <cdr:x>0.98975</cdr:x>
      <cdr:y>0.273</cdr:y>
    </cdr:to>
    <cdr:sp>
      <cdr:nvSpPr>
        <cdr:cNvPr id="17" name="Line 17"/>
        <cdr:cNvSpPr>
          <a:spLocks/>
        </cdr:cNvSpPr>
      </cdr:nvSpPr>
      <cdr:spPr>
        <a:xfrm>
          <a:off x="914400" y="1676400"/>
          <a:ext cx="76676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0.20225</cdr:x>
      <cdr:y>0.778</cdr:y>
    </cdr:from>
    <cdr:to>
      <cdr:x>0.21225</cdr:x>
      <cdr:y>0.814</cdr:y>
    </cdr:to>
    <cdr:sp>
      <cdr:nvSpPr>
        <cdr:cNvPr id="18" name="TextBox 18"/>
        <cdr:cNvSpPr txBox="1">
          <a:spLocks noChangeArrowheads="1"/>
        </cdr:cNvSpPr>
      </cdr:nvSpPr>
      <cdr:spPr>
        <a:xfrm>
          <a:off x="1752600" y="4791075"/>
          <a:ext cx="85725" cy="219075"/>
        </a:xfrm>
        <a:prstGeom prst="rect">
          <a:avLst/>
        </a:prstGeom>
        <a:noFill/>
        <a:ln w="9525" cmpd="sng">
          <a:noFill/>
        </a:ln>
      </cdr:spPr>
      <cdr:txBody>
        <a:bodyPr vertOverflow="clip" wrap="square">
          <a:spAutoFit/>
        </a:bodyPr>
        <a:p>
          <a:pPr algn="l">
            <a:defRPr/>
          </a:pPr>
          <a:r>
            <a:rPr lang="en-US" cap="none" u="none" baseline="0">
              <a:latin typeface="Geneva"/>
              <a:ea typeface="Geneva"/>
              <a:cs typeface="Geneva"/>
            </a:rPr>
            <a:t/>
          </a:r>
        </a:p>
      </cdr:txBody>
    </cdr:sp>
  </cdr:relSizeAnchor>
  <cdr:relSizeAnchor xmlns:cdr="http://schemas.openxmlformats.org/drawingml/2006/chartDrawing">
    <cdr:from>
      <cdr:x>0.2125</cdr:x>
      <cdr:y>0.66925</cdr:y>
    </cdr:from>
    <cdr:to>
      <cdr:x>0.3435</cdr:x>
      <cdr:y>0.7145</cdr:y>
    </cdr:to>
    <cdr:sp>
      <cdr:nvSpPr>
        <cdr:cNvPr id="19" name="TextBox 19"/>
        <cdr:cNvSpPr txBox="1">
          <a:spLocks noChangeArrowheads="1"/>
        </cdr:cNvSpPr>
      </cdr:nvSpPr>
      <cdr:spPr>
        <a:xfrm>
          <a:off x="1838325" y="4124325"/>
          <a:ext cx="1133475" cy="276225"/>
        </a:xfrm>
        <a:prstGeom prst="rect">
          <a:avLst/>
        </a:prstGeom>
        <a:noFill/>
        <a:ln w="9525" cmpd="sng">
          <a:noFill/>
        </a:ln>
      </cdr:spPr>
      <cdr:txBody>
        <a:bodyPr vertOverflow="clip" wrap="square">
          <a:spAutoFit/>
        </a:bodyPr>
        <a:p>
          <a:pPr algn="l">
            <a:defRPr/>
          </a:pPr>
          <a:r>
            <a:rPr lang="en-US" cap="none" sz="1400" b="1" i="0" u="none" baseline="0"/>
            <a:t>AP Score = 1</a:t>
          </a:r>
        </a:p>
      </cdr:txBody>
    </cdr:sp>
  </cdr:relSizeAnchor>
  <cdr:relSizeAnchor xmlns:cdr="http://schemas.openxmlformats.org/drawingml/2006/chartDrawing">
    <cdr:from>
      <cdr:x>0.349</cdr:x>
      <cdr:y>0.5935</cdr:y>
    </cdr:from>
    <cdr:to>
      <cdr:x>0.48</cdr:x>
      <cdr:y>0.639</cdr:y>
    </cdr:to>
    <cdr:sp>
      <cdr:nvSpPr>
        <cdr:cNvPr id="20" name="TextBox 20"/>
        <cdr:cNvSpPr txBox="1">
          <a:spLocks noChangeArrowheads="1"/>
        </cdr:cNvSpPr>
      </cdr:nvSpPr>
      <cdr:spPr>
        <a:xfrm>
          <a:off x="3019425" y="3648075"/>
          <a:ext cx="1133475" cy="276225"/>
        </a:xfrm>
        <a:prstGeom prst="rect">
          <a:avLst/>
        </a:prstGeom>
        <a:noFill/>
        <a:ln w="9525" cmpd="sng">
          <a:noFill/>
        </a:ln>
      </cdr:spPr>
      <cdr:txBody>
        <a:bodyPr vertOverflow="clip" wrap="square">
          <a:spAutoFit/>
        </a:bodyPr>
        <a:p>
          <a:pPr algn="l">
            <a:defRPr/>
          </a:pPr>
          <a:r>
            <a:rPr lang="en-US" cap="none" sz="1400" b="1" i="0" u="none" baseline="0"/>
            <a:t>AP Score = 2</a:t>
          </a:r>
        </a:p>
      </cdr:txBody>
    </cdr:sp>
  </cdr:relSizeAnchor>
  <cdr:relSizeAnchor xmlns:cdr="http://schemas.openxmlformats.org/drawingml/2006/chartDrawing">
    <cdr:from>
      <cdr:x>0.472</cdr:x>
      <cdr:y>0.51725</cdr:y>
    </cdr:from>
    <cdr:to>
      <cdr:x>0.6285</cdr:x>
      <cdr:y>0.56275</cdr:y>
    </cdr:to>
    <cdr:sp>
      <cdr:nvSpPr>
        <cdr:cNvPr id="21" name="TextBox 21"/>
        <cdr:cNvSpPr txBox="1">
          <a:spLocks noChangeArrowheads="1"/>
        </cdr:cNvSpPr>
      </cdr:nvSpPr>
      <cdr:spPr>
        <a:xfrm>
          <a:off x="4086225" y="3181350"/>
          <a:ext cx="1362075" cy="276225"/>
        </a:xfrm>
        <a:prstGeom prst="rect">
          <a:avLst/>
        </a:prstGeom>
        <a:noFill/>
        <a:ln w="9525" cmpd="sng">
          <a:noFill/>
        </a:ln>
      </cdr:spPr>
      <cdr:txBody>
        <a:bodyPr vertOverflow="clip" wrap="square"/>
        <a:p>
          <a:pPr algn="l">
            <a:defRPr/>
          </a:pPr>
          <a:r>
            <a:rPr lang="en-US" cap="none" sz="1400" b="1" i="0" u="none" baseline="0"/>
            <a:t>AP Score = 3</a:t>
          </a:r>
        </a:p>
      </cdr:txBody>
    </cdr:sp>
  </cdr:relSizeAnchor>
  <cdr:relSizeAnchor xmlns:cdr="http://schemas.openxmlformats.org/drawingml/2006/chartDrawing">
    <cdr:from>
      <cdr:x>0.59125</cdr:x>
      <cdr:y>0.44325</cdr:y>
    </cdr:from>
    <cdr:to>
      <cdr:x>0.72775</cdr:x>
      <cdr:y>0.48725</cdr:y>
    </cdr:to>
    <cdr:sp>
      <cdr:nvSpPr>
        <cdr:cNvPr id="22" name="TextBox 22"/>
        <cdr:cNvSpPr txBox="1">
          <a:spLocks noChangeArrowheads="1"/>
        </cdr:cNvSpPr>
      </cdr:nvSpPr>
      <cdr:spPr>
        <a:xfrm>
          <a:off x="5124450" y="2724150"/>
          <a:ext cx="1181100" cy="266700"/>
        </a:xfrm>
        <a:prstGeom prst="rect">
          <a:avLst/>
        </a:prstGeom>
        <a:noFill/>
        <a:ln w="9525" cmpd="sng">
          <a:noFill/>
        </a:ln>
      </cdr:spPr>
      <cdr:txBody>
        <a:bodyPr vertOverflow="clip" wrap="square"/>
        <a:p>
          <a:pPr algn="l">
            <a:defRPr/>
          </a:pPr>
          <a:r>
            <a:rPr lang="en-US" cap="none" sz="1400" b="1" i="0" u="none" baseline="0"/>
            <a:t>AP Score = 4</a:t>
          </a:r>
        </a:p>
      </cdr:txBody>
    </cdr:sp>
  </cdr:relSizeAnchor>
  <cdr:relSizeAnchor xmlns:cdr="http://schemas.openxmlformats.org/drawingml/2006/chartDrawing">
    <cdr:from>
      <cdr:x>0.742</cdr:x>
      <cdr:y>0.363</cdr:y>
    </cdr:from>
    <cdr:to>
      <cdr:x>0.873</cdr:x>
      <cdr:y>0.40825</cdr:y>
    </cdr:to>
    <cdr:sp>
      <cdr:nvSpPr>
        <cdr:cNvPr id="23" name="TextBox 23"/>
        <cdr:cNvSpPr txBox="1">
          <a:spLocks noChangeArrowheads="1"/>
        </cdr:cNvSpPr>
      </cdr:nvSpPr>
      <cdr:spPr>
        <a:xfrm>
          <a:off x="6429375" y="2228850"/>
          <a:ext cx="1133475" cy="276225"/>
        </a:xfrm>
        <a:prstGeom prst="rect">
          <a:avLst/>
        </a:prstGeom>
        <a:noFill/>
        <a:ln w="9525" cmpd="sng">
          <a:noFill/>
        </a:ln>
      </cdr:spPr>
      <cdr:txBody>
        <a:bodyPr vertOverflow="clip" wrap="square">
          <a:spAutoFit/>
        </a:bodyPr>
        <a:p>
          <a:pPr algn="l">
            <a:defRPr/>
          </a:pPr>
          <a:r>
            <a:rPr lang="en-US" cap="none" sz="1400" b="1" i="0" u="none" baseline="0"/>
            <a:t>AP Score = 5</a:t>
          </a:r>
        </a:p>
      </cdr:txBody>
    </cdr:sp>
  </cdr:relSizeAnchor>
  <cdr:relSizeAnchor xmlns:cdr="http://schemas.openxmlformats.org/drawingml/2006/chartDrawing">
    <cdr:from>
      <cdr:x>0.11375</cdr:x>
      <cdr:y>0.41975</cdr:y>
    </cdr:from>
    <cdr:to>
      <cdr:x>0.282</cdr:x>
      <cdr:y>0.5065</cdr:y>
    </cdr:to>
    <cdr:sp>
      <cdr:nvSpPr>
        <cdr:cNvPr id="24" name="TextBox 25"/>
        <cdr:cNvSpPr txBox="1">
          <a:spLocks noChangeArrowheads="1"/>
        </cdr:cNvSpPr>
      </cdr:nvSpPr>
      <cdr:spPr>
        <a:xfrm>
          <a:off x="981075" y="2581275"/>
          <a:ext cx="1457325" cy="533400"/>
        </a:xfrm>
        <a:prstGeom prst="rect">
          <a:avLst/>
        </a:prstGeom>
        <a:noFill/>
        <a:ln w="9525" cmpd="sng">
          <a:noFill/>
        </a:ln>
      </cdr:spPr>
      <cdr:txBody>
        <a:bodyPr vertOverflow="clip" wrap="square">
          <a:spAutoFit/>
        </a:bodyPr>
        <a:p>
          <a:pPr algn="l">
            <a:defRPr/>
          </a:pPr>
          <a:r>
            <a:rPr lang="en-US" cap="none" sz="1000" b="0" i="0" u="none" baseline="0"/>
            <a:t>Note: MC section scores
below 20% are rounded
off to zero.</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162675"/>
    <xdr:graphicFrame>
      <xdr:nvGraphicFramePr>
        <xdr:cNvPr id="1" name="Shape 1025"/>
        <xdr:cNvGraphicFramePr/>
      </xdr:nvGraphicFramePr>
      <xdr:xfrm>
        <a:off x="0" y="0"/>
        <a:ext cx="8677275" cy="616267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0.36475</cdr:x>
      <cdr:y>0.16025</cdr:y>
    </cdr:from>
    <cdr:to>
      <cdr:x>0.36475</cdr:x>
      <cdr:y>0.76675</cdr:y>
    </cdr:to>
    <cdr:sp>
      <cdr:nvSpPr>
        <cdr:cNvPr id="1" name="Line 1"/>
        <cdr:cNvSpPr>
          <a:spLocks/>
        </cdr:cNvSpPr>
      </cdr:nvSpPr>
      <cdr:spPr>
        <a:xfrm flipV="1">
          <a:off x="3162300" y="1095375"/>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0.34375</cdr:x>
      <cdr:y>0.12475</cdr:y>
    </cdr:from>
    <cdr:to>
      <cdr:x>0.396</cdr:x>
      <cdr:y>0.16025</cdr:y>
    </cdr:to>
    <cdr:sp>
      <cdr:nvSpPr>
        <cdr:cNvPr id="2" name="TextBox 2"/>
        <cdr:cNvSpPr txBox="1">
          <a:spLocks noChangeArrowheads="1"/>
        </cdr:cNvSpPr>
      </cdr:nvSpPr>
      <cdr:spPr>
        <a:xfrm>
          <a:off x="2981325" y="847725"/>
          <a:ext cx="457200" cy="247650"/>
        </a:xfrm>
        <a:prstGeom prst="rect">
          <a:avLst/>
        </a:prstGeom>
        <a:noFill/>
        <a:ln w="9525" cmpd="sng">
          <a:noFill/>
        </a:ln>
      </cdr:spPr>
      <cdr:txBody>
        <a:bodyPr vertOverflow="clip" wrap="square"/>
        <a:p>
          <a:pPr algn="ctr">
            <a:defRPr/>
          </a:pPr>
          <a:r>
            <a:rPr lang="en-US" cap="none" sz="1000" b="0" i="0" u="none" baseline="0"/>
            <a:t>50%</a:t>
          </a:r>
        </a:p>
      </cdr:txBody>
    </cdr:sp>
  </cdr:relSizeAnchor>
  <cdr:relSizeAnchor xmlns:cdr="http://schemas.openxmlformats.org/drawingml/2006/chartDrawing">
    <cdr:from>
      <cdr:x>0.25325</cdr:x>
      <cdr:y>0.16025</cdr:y>
    </cdr:from>
    <cdr:to>
      <cdr:x>0.25425</cdr:x>
      <cdr:y>0.7665</cdr:y>
    </cdr:to>
    <cdr:sp>
      <cdr:nvSpPr>
        <cdr:cNvPr id="3" name="Line 3"/>
        <cdr:cNvSpPr>
          <a:spLocks/>
        </cdr:cNvSpPr>
      </cdr:nvSpPr>
      <cdr:spPr>
        <a:xfrm flipH="1" flipV="1">
          <a:off x="2190750" y="1095375"/>
          <a:ext cx="9525"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0.16075</cdr:x>
      <cdr:y>0.16025</cdr:y>
    </cdr:from>
    <cdr:to>
      <cdr:x>0.16275</cdr:x>
      <cdr:y>0.7665</cdr:y>
    </cdr:to>
    <cdr:sp>
      <cdr:nvSpPr>
        <cdr:cNvPr id="4" name="Line 4"/>
        <cdr:cNvSpPr>
          <a:spLocks/>
        </cdr:cNvSpPr>
      </cdr:nvSpPr>
      <cdr:spPr>
        <a:xfrm flipH="1" flipV="1">
          <a:off x="1390650" y="1095375"/>
          <a:ext cx="1905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0.496</cdr:x>
      <cdr:y>0.16025</cdr:y>
    </cdr:from>
    <cdr:to>
      <cdr:x>0.496</cdr:x>
      <cdr:y>0.7665</cdr:y>
    </cdr:to>
    <cdr:sp>
      <cdr:nvSpPr>
        <cdr:cNvPr id="5" name="Line 5"/>
        <cdr:cNvSpPr>
          <a:spLocks/>
        </cdr:cNvSpPr>
      </cdr:nvSpPr>
      <cdr:spPr>
        <a:xfrm flipV="1">
          <a:off x="4295775" y="1095375"/>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0.62175</cdr:x>
      <cdr:y>0.16025</cdr:y>
    </cdr:from>
    <cdr:to>
      <cdr:x>0.62175</cdr:x>
      <cdr:y>0.7665</cdr:y>
    </cdr:to>
    <cdr:sp>
      <cdr:nvSpPr>
        <cdr:cNvPr id="6" name="Line 6"/>
        <cdr:cNvSpPr>
          <a:spLocks/>
        </cdr:cNvSpPr>
      </cdr:nvSpPr>
      <cdr:spPr>
        <a:xfrm flipH="1" flipV="1">
          <a:off x="5391150" y="1095375"/>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0.7705</cdr:x>
      <cdr:y>0.16025</cdr:y>
    </cdr:from>
    <cdr:to>
      <cdr:x>0.7705</cdr:x>
      <cdr:y>0.7665</cdr:y>
    </cdr:to>
    <cdr:sp>
      <cdr:nvSpPr>
        <cdr:cNvPr id="7" name="Line 7"/>
        <cdr:cNvSpPr>
          <a:spLocks/>
        </cdr:cNvSpPr>
      </cdr:nvSpPr>
      <cdr:spPr>
        <a:xfrm flipH="1" flipV="1">
          <a:off x="6677025" y="1095375"/>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0.23025</cdr:x>
      <cdr:y>0.126</cdr:y>
    </cdr:from>
    <cdr:to>
      <cdr:x>0.28075</cdr:x>
      <cdr:y>0.16025</cdr:y>
    </cdr:to>
    <cdr:sp>
      <cdr:nvSpPr>
        <cdr:cNvPr id="8" name="TextBox 8"/>
        <cdr:cNvSpPr txBox="1">
          <a:spLocks noChangeArrowheads="1"/>
        </cdr:cNvSpPr>
      </cdr:nvSpPr>
      <cdr:spPr>
        <a:xfrm>
          <a:off x="1990725" y="857250"/>
          <a:ext cx="438150" cy="238125"/>
        </a:xfrm>
        <a:prstGeom prst="rect">
          <a:avLst/>
        </a:prstGeom>
        <a:noFill/>
        <a:ln w="9525" cmpd="sng">
          <a:noFill/>
        </a:ln>
      </cdr:spPr>
      <cdr:txBody>
        <a:bodyPr vertOverflow="clip" wrap="square"/>
        <a:p>
          <a:pPr algn="ctr">
            <a:defRPr/>
          </a:pPr>
          <a:r>
            <a:rPr lang="en-US" cap="none" sz="1000" b="0" i="0" u="none" baseline="0"/>
            <a:t>40%</a:t>
          </a:r>
        </a:p>
      </cdr:txBody>
    </cdr:sp>
  </cdr:relSizeAnchor>
  <cdr:relSizeAnchor xmlns:cdr="http://schemas.openxmlformats.org/drawingml/2006/chartDrawing">
    <cdr:from>
      <cdr:x>0.14475</cdr:x>
      <cdr:y>0.126</cdr:y>
    </cdr:from>
    <cdr:to>
      <cdr:x>0.1865</cdr:x>
      <cdr:y>0.16025</cdr:y>
    </cdr:to>
    <cdr:sp>
      <cdr:nvSpPr>
        <cdr:cNvPr id="9" name="TextBox 9"/>
        <cdr:cNvSpPr txBox="1">
          <a:spLocks noChangeArrowheads="1"/>
        </cdr:cNvSpPr>
      </cdr:nvSpPr>
      <cdr:spPr>
        <a:xfrm>
          <a:off x="1247775" y="857250"/>
          <a:ext cx="361950" cy="238125"/>
        </a:xfrm>
        <a:prstGeom prst="rect">
          <a:avLst/>
        </a:prstGeom>
        <a:noFill/>
        <a:ln w="9525" cmpd="sng">
          <a:noFill/>
        </a:ln>
      </cdr:spPr>
      <cdr:txBody>
        <a:bodyPr vertOverflow="clip" wrap="square"/>
        <a:p>
          <a:pPr algn="ctr">
            <a:defRPr/>
          </a:pPr>
          <a:r>
            <a:rPr lang="en-US" cap="none" sz="1000" b="0" i="0" u="none" baseline="0"/>
            <a:t>30%</a:t>
          </a:r>
        </a:p>
      </cdr:txBody>
    </cdr:sp>
  </cdr:relSizeAnchor>
  <cdr:relSizeAnchor xmlns:cdr="http://schemas.openxmlformats.org/drawingml/2006/chartDrawing">
    <cdr:from>
      <cdr:x>0.47525</cdr:x>
      <cdr:y>0.126</cdr:y>
    </cdr:from>
    <cdr:to>
      <cdr:x>0.52175</cdr:x>
      <cdr:y>0.16025</cdr:y>
    </cdr:to>
    <cdr:sp>
      <cdr:nvSpPr>
        <cdr:cNvPr id="10" name="TextBox 10"/>
        <cdr:cNvSpPr txBox="1">
          <a:spLocks noChangeArrowheads="1"/>
        </cdr:cNvSpPr>
      </cdr:nvSpPr>
      <cdr:spPr>
        <a:xfrm>
          <a:off x="4114800" y="857250"/>
          <a:ext cx="400050" cy="238125"/>
        </a:xfrm>
        <a:prstGeom prst="rect">
          <a:avLst/>
        </a:prstGeom>
        <a:noFill/>
        <a:ln w="9525" cmpd="sng">
          <a:noFill/>
        </a:ln>
      </cdr:spPr>
      <cdr:txBody>
        <a:bodyPr vertOverflow="clip" wrap="square"/>
        <a:p>
          <a:pPr algn="ctr">
            <a:defRPr/>
          </a:pPr>
          <a:r>
            <a:rPr lang="en-US" cap="none" sz="1000" b="0" i="0" u="none" baseline="0"/>
            <a:t>60%</a:t>
          </a:r>
        </a:p>
      </cdr:txBody>
    </cdr:sp>
  </cdr:relSizeAnchor>
  <cdr:relSizeAnchor xmlns:cdr="http://schemas.openxmlformats.org/drawingml/2006/chartDrawing">
    <cdr:from>
      <cdr:x>0.599</cdr:x>
      <cdr:y>0.126</cdr:y>
    </cdr:from>
    <cdr:to>
      <cdr:x>0.65225</cdr:x>
      <cdr:y>0.16025</cdr:y>
    </cdr:to>
    <cdr:sp>
      <cdr:nvSpPr>
        <cdr:cNvPr id="11" name="TextBox 11"/>
        <cdr:cNvSpPr txBox="1">
          <a:spLocks noChangeArrowheads="1"/>
        </cdr:cNvSpPr>
      </cdr:nvSpPr>
      <cdr:spPr>
        <a:xfrm>
          <a:off x="5191125" y="857250"/>
          <a:ext cx="466725" cy="238125"/>
        </a:xfrm>
        <a:prstGeom prst="rect">
          <a:avLst/>
        </a:prstGeom>
        <a:noFill/>
        <a:ln w="9525" cmpd="sng">
          <a:noFill/>
        </a:ln>
      </cdr:spPr>
      <cdr:txBody>
        <a:bodyPr vertOverflow="clip" wrap="square"/>
        <a:p>
          <a:pPr algn="ctr">
            <a:defRPr/>
          </a:pPr>
          <a:r>
            <a:rPr lang="en-US" cap="none" sz="1000" b="0" i="0" u="none" baseline="0"/>
            <a:t>70%</a:t>
          </a:r>
        </a:p>
      </cdr:txBody>
    </cdr:sp>
  </cdr:relSizeAnchor>
  <cdr:relSizeAnchor xmlns:cdr="http://schemas.openxmlformats.org/drawingml/2006/chartDrawing">
    <cdr:from>
      <cdr:x>0.74475</cdr:x>
      <cdr:y>0.126</cdr:y>
    </cdr:from>
    <cdr:to>
      <cdr:x>0.79625</cdr:x>
      <cdr:y>0.16025</cdr:y>
    </cdr:to>
    <cdr:sp>
      <cdr:nvSpPr>
        <cdr:cNvPr id="12" name="TextBox 12"/>
        <cdr:cNvSpPr txBox="1">
          <a:spLocks noChangeArrowheads="1"/>
        </cdr:cNvSpPr>
      </cdr:nvSpPr>
      <cdr:spPr>
        <a:xfrm>
          <a:off x="6457950" y="857250"/>
          <a:ext cx="447675" cy="238125"/>
        </a:xfrm>
        <a:prstGeom prst="rect">
          <a:avLst/>
        </a:prstGeom>
        <a:noFill/>
        <a:ln w="9525" cmpd="sng">
          <a:noFill/>
        </a:ln>
      </cdr:spPr>
      <cdr:txBody>
        <a:bodyPr vertOverflow="clip" wrap="square"/>
        <a:p>
          <a:pPr algn="ctr">
            <a:defRPr/>
          </a:pPr>
          <a:r>
            <a:rPr lang="en-US" cap="none" sz="1000" b="0" i="0" u="none" baseline="0"/>
            <a:t>80%</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848475"/>
    <xdr:graphicFrame>
      <xdr:nvGraphicFramePr>
        <xdr:cNvPr id="1" name="Shape 1025"/>
        <xdr:cNvGraphicFramePr/>
      </xdr:nvGraphicFramePr>
      <xdr:xfrm>
        <a:off x="0" y="0"/>
        <a:ext cx="8677275" cy="6848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0.38275</cdr:x>
      <cdr:y>0.1585</cdr:y>
    </cdr:from>
    <cdr:to>
      <cdr:x>0.38275</cdr:x>
      <cdr:y>0.765</cdr:y>
    </cdr:to>
    <cdr:sp>
      <cdr:nvSpPr>
        <cdr:cNvPr id="1" name="Line 1"/>
        <cdr:cNvSpPr>
          <a:spLocks/>
        </cdr:cNvSpPr>
      </cdr:nvSpPr>
      <cdr:spPr>
        <a:xfrm flipV="1">
          <a:off x="3314700" y="1076325"/>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0.35625</cdr:x>
      <cdr:y>0.125</cdr:y>
    </cdr:from>
    <cdr:to>
      <cdr:x>0.4085</cdr:x>
      <cdr:y>0.16025</cdr:y>
    </cdr:to>
    <cdr:sp>
      <cdr:nvSpPr>
        <cdr:cNvPr id="2" name="TextBox 2"/>
        <cdr:cNvSpPr txBox="1">
          <a:spLocks noChangeArrowheads="1"/>
        </cdr:cNvSpPr>
      </cdr:nvSpPr>
      <cdr:spPr>
        <a:xfrm>
          <a:off x="3086100" y="847725"/>
          <a:ext cx="457200" cy="238125"/>
        </a:xfrm>
        <a:prstGeom prst="rect">
          <a:avLst/>
        </a:prstGeom>
        <a:noFill/>
        <a:ln w="9525" cmpd="sng">
          <a:noFill/>
        </a:ln>
      </cdr:spPr>
      <cdr:txBody>
        <a:bodyPr vertOverflow="clip" wrap="square"/>
        <a:p>
          <a:pPr algn="ctr">
            <a:defRPr/>
          </a:pPr>
          <a:r>
            <a:rPr lang="en-US" cap="none" sz="1000" b="0" i="0" u="none" baseline="0"/>
            <a:t>50%</a:t>
          </a:r>
        </a:p>
      </cdr:txBody>
    </cdr:sp>
  </cdr:relSizeAnchor>
  <cdr:relSizeAnchor xmlns:cdr="http://schemas.openxmlformats.org/drawingml/2006/chartDrawing">
    <cdr:from>
      <cdr:x>0.263</cdr:x>
      <cdr:y>0.16025</cdr:y>
    </cdr:from>
    <cdr:to>
      <cdr:x>0.264</cdr:x>
      <cdr:y>0.7665</cdr:y>
    </cdr:to>
    <cdr:sp>
      <cdr:nvSpPr>
        <cdr:cNvPr id="3" name="Line 3"/>
        <cdr:cNvSpPr>
          <a:spLocks/>
        </cdr:cNvSpPr>
      </cdr:nvSpPr>
      <cdr:spPr>
        <a:xfrm flipH="1" flipV="1">
          <a:off x="2276475" y="1095375"/>
          <a:ext cx="9525"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0.17725</cdr:x>
      <cdr:y>0.16025</cdr:y>
    </cdr:from>
    <cdr:to>
      <cdr:x>0.17925</cdr:x>
      <cdr:y>0.7665</cdr:y>
    </cdr:to>
    <cdr:sp>
      <cdr:nvSpPr>
        <cdr:cNvPr id="4" name="Line 4"/>
        <cdr:cNvSpPr>
          <a:spLocks/>
        </cdr:cNvSpPr>
      </cdr:nvSpPr>
      <cdr:spPr>
        <a:xfrm flipH="1" flipV="1">
          <a:off x="1533525" y="1095375"/>
          <a:ext cx="1905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0.5055</cdr:x>
      <cdr:y>0.1585</cdr:y>
    </cdr:from>
    <cdr:to>
      <cdr:x>0.5055</cdr:x>
      <cdr:y>0.76475</cdr:y>
    </cdr:to>
    <cdr:sp>
      <cdr:nvSpPr>
        <cdr:cNvPr id="5" name="Line 5"/>
        <cdr:cNvSpPr>
          <a:spLocks/>
        </cdr:cNvSpPr>
      </cdr:nvSpPr>
      <cdr:spPr>
        <a:xfrm flipV="1">
          <a:off x="4381500" y="1076325"/>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0.629</cdr:x>
      <cdr:y>0.16025</cdr:y>
    </cdr:from>
    <cdr:to>
      <cdr:x>0.629</cdr:x>
      <cdr:y>0.7665</cdr:y>
    </cdr:to>
    <cdr:sp>
      <cdr:nvSpPr>
        <cdr:cNvPr id="6" name="Line 6"/>
        <cdr:cNvSpPr>
          <a:spLocks/>
        </cdr:cNvSpPr>
      </cdr:nvSpPr>
      <cdr:spPr>
        <a:xfrm flipH="1" flipV="1">
          <a:off x="5457825" y="1095375"/>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0.745</cdr:x>
      <cdr:y>0.1585</cdr:y>
    </cdr:from>
    <cdr:to>
      <cdr:x>0.745</cdr:x>
      <cdr:y>0.76475</cdr:y>
    </cdr:to>
    <cdr:sp>
      <cdr:nvSpPr>
        <cdr:cNvPr id="7" name="Line 7"/>
        <cdr:cNvSpPr>
          <a:spLocks/>
        </cdr:cNvSpPr>
      </cdr:nvSpPr>
      <cdr:spPr>
        <a:xfrm flipH="1" flipV="1">
          <a:off x="6457950" y="1076325"/>
          <a:ext cx="0" cy="41529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0.242</cdr:x>
      <cdr:y>0.125</cdr:y>
    </cdr:from>
    <cdr:to>
      <cdr:x>0.2925</cdr:x>
      <cdr:y>0.159</cdr:y>
    </cdr:to>
    <cdr:sp>
      <cdr:nvSpPr>
        <cdr:cNvPr id="8" name="TextBox 8"/>
        <cdr:cNvSpPr txBox="1">
          <a:spLocks noChangeArrowheads="1"/>
        </cdr:cNvSpPr>
      </cdr:nvSpPr>
      <cdr:spPr>
        <a:xfrm>
          <a:off x="2095500" y="847725"/>
          <a:ext cx="438150" cy="228600"/>
        </a:xfrm>
        <a:prstGeom prst="rect">
          <a:avLst/>
        </a:prstGeom>
        <a:noFill/>
        <a:ln w="9525" cmpd="sng">
          <a:noFill/>
        </a:ln>
      </cdr:spPr>
      <cdr:txBody>
        <a:bodyPr vertOverflow="clip" wrap="square"/>
        <a:p>
          <a:pPr algn="ctr">
            <a:defRPr/>
          </a:pPr>
          <a:r>
            <a:rPr lang="en-US" cap="none" sz="1000" b="0" i="0" u="none" baseline="0"/>
            <a:t>40%</a:t>
          </a:r>
        </a:p>
      </cdr:txBody>
    </cdr:sp>
  </cdr:relSizeAnchor>
  <cdr:relSizeAnchor xmlns:cdr="http://schemas.openxmlformats.org/drawingml/2006/chartDrawing">
    <cdr:from>
      <cdr:x>0.145</cdr:x>
      <cdr:y>0.126</cdr:y>
    </cdr:from>
    <cdr:to>
      <cdr:x>0.18775</cdr:x>
      <cdr:y>0.16025</cdr:y>
    </cdr:to>
    <cdr:sp>
      <cdr:nvSpPr>
        <cdr:cNvPr id="9" name="TextBox 9"/>
        <cdr:cNvSpPr txBox="1">
          <a:spLocks noChangeArrowheads="1"/>
        </cdr:cNvSpPr>
      </cdr:nvSpPr>
      <cdr:spPr>
        <a:xfrm>
          <a:off x="1257300" y="857250"/>
          <a:ext cx="371475" cy="238125"/>
        </a:xfrm>
        <a:prstGeom prst="rect">
          <a:avLst/>
        </a:prstGeom>
        <a:noFill/>
        <a:ln w="9525" cmpd="sng">
          <a:noFill/>
        </a:ln>
      </cdr:spPr>
      <cdr:txBody>
        <a:bodyPr vertOverflow="clip" wrap="square"/>
        <a:p>
          <a:pPr algn="ctr">
            <a:defRPr/>
          </a:pPr>
          <a:r>
            <a:rPr lang="en-US" cap="none" sz="1000" b="0" i="0" u="none" baseline="0"/>
            <a:t>30%</a:t>
          </a:r>
        </a:p>
      </cdr:txBody>
    </cdr:sp>
  </cdr:relSizeAnchor>
  <cdr:relSizeAnchor xmlns:cdr="http://schemas.openxmlformats.org/drawingml/2006/chartDrawing">
    <cdr:from>
      <cdr:x>0.477</cdr:x>
      <cdr:y>0.126</cdr:y>
    </cdr:from>
    <cdr:to>
      <cdr:x>0.5225</cdr:x>
      <cdr:y>0.16025</cdr:y>
    </cdr:to>
    <cdr:sp>
      <cdr:nvSpPr>
        <cdr:cNvPr id="10" name="TextBox 10"/>
        <cdr:cNvSpPr txBox="1">
          <a:spLocks noChangeArrowheads="1"/>
        </cdr:cNvSpPr>
      </cdr:nvSpPr>
      <cdr:spPr>
        <a:xfrm>
          <a:off x="4133850" y="857250"/>
          <a:ext cx="390525" cy="238125"/>
        </a:xfrm>
        <a:prstGeom prst="rect">
          <a:avLst/>
        </a:prstGeom>
        <a:noFill/>
        <a:ln w="9525" cmpd="sng">
          <a:noFill/>
        </a:ln>
      </cdr:spPr>
      <cdr:txBody>
        <a:bodyPr vertOverflow="clip" wrap="square"/>
        <a:p>
          <a:pPr algn="ctr">
            <a:defRPr/>
          </a:pPr>
          <a:r>
            <a:rPr lang="en-US" cap="none" sz="1000" b="0" i="0" u="none" baseline="0"/>
            <a:t>60%</a:t>
          </a:r>
        </a:p>
      </cdr:txBody>
    </cdr:sp>
  </cdr:relSizeAnchor>
  <cdr:relSizeAnchor xmlns:cdr="http://schemas.openxmlformats.org/drawingml/2006/chartDrawing">
    <cdr:from>
      <cdr:x>0.5995</cdr:x>
      <cdr:y>0.126</cdr:y>
    </cdr:from>
    <cdr:to>
      <cdr:x>0.65275</cdr:x>
      <cdr:y>0.16025</cdr:y>
    </cdr:to>
    <cdr:sp>
      <cdr:nvSpPr>
        <cdr:cNvPr id="11" name="TextBox 11"/>
        <cdr:cNvSpPr txBox="1">
          <a:spLocks noChangeArrowheads="1"/>
        </cdr:cNvSpPr>
      </cdr:nvSpPr>
      <cdr:spPr>
        <a:xfrm>
          <a:off x="5200650" y="857250"/>
          <a:ext cx="466725" cy="238125"/>
        </a:xfrm>
        <a:prstGeom prst="rect">
          <a:avLst/>
        </a:prstGeom>
        <a:noFill/>
        <a:ln w="9525" cmpd="sng">
          <a:noFill/>
        </a:ln>
      </cdr:spPr>
      <cdr:txBody>
        <a:bodyPr vertOverflow="clip" wrap="square"/>
        <a:p>
          <a:pPr algn="ctr">
            <a:defRPr/>
          </a:pPr>
          <a:r>
            <a:rPr lang="en-US" cap="none" sz="1000" b="0" i="0" u="none" baseline="0"/>
            <a:t>70%</a:t>
          </a:r>
        </a:p>
      </cdr:txBody>
    </cdr:sp>
  </cdr:relSizeAnchor>
  <cdr:relSizeAnchor xmlns:cdr="http://schemas.openxmlformats.org/drawingml/2006/chartDrawing">
    <cdr:from>
      <cdr:x>0.726</cdr:x>
      <cdr:y>0.12675</cdr:y>
    </cdr:from>
    <cdr:to>
      <cdr:x>0.7765</cdr:x>
      <cdr:y>0.16075</cdr:y>
    </cdr:to>
    <cdr:sp>
      <cdr:nvSpPr>
        <cdr:cNvPr id="12" name="TextBox 12"/>
        <cdr:cNvSpPr txBox="1">
          <a:spLocks noChangeArrowheads="1"/>
        </cdr:cNvSpPr>
      </cdr:nvSpPr>
      <cdr:spPr>
        <a:xfrm>
          <a:off x="6296025" y="866775"/>
          <a:ext cx="438150" cy="228600"/>
        </a:xfrm>
        <a:prstGeom prst="rect">
          <a:avLst/>
        </a:prstGeom>
        <a:noFill/>
        <a:ln w="9525" cmpd="sng">
          <a:noFill/>
        </a:ln>
      </cdr:spPr>
      <cdr:txBody>
        <a:bodyPr vertOverflow="clip" wrap="square"/>
        <a:p>
          <a:pPr algn="ctr">
            <a:defRPr/>
          </a:pPr>
          <a:r>
            <a:rPr lang="en-US" cap="none" sz="1000" b="0" i="0" u="none" baseline="0"/>
            <a:t>80%</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848475"/>
    <xdr:graphicFrame>
      <xdr:nvGraphicFramePr>
        <xdr:cNvPr id="1" name="Shape 1025"/>
        <xdr:cNvGraphicFramePr/>
      </xdr:nvGraphicFramePr>
      <xdr:xfrm>
        <a:off x="0" y="0"/>
        <a:ext cx="8677275" cy="6848475"/>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0.0565</cdr:x>
      <cdr:y>0.7295</cdr:y>
    </cdr:from>
    <cdr:to>
      <cdr:x>0.96925</cdr:x>
      <cdr:y>0.7295</cdr:y>
    </cdr:to>
    <cdr:sp>
      <cdr:nvSpPr>
        <cdr:cNvPr id="1" name="Line 1"/>
        <cdr:cNvSpPr>
          <a:spLocks/>
        </cdr:cNvSpPr>
      </cdr:nvSpPr>
      <cdr:spPr>
        <a:xfrm>
          <a:off x="485775" y="4657725"/>
          <a:ext cx="79248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0.0565</cdr:x>
      <cdr:y>0.64225</cdr:y>
    </cdr:from>
    <cdr:to>
      <cdr:x>0.96925</cdr:x>
      <cdr:y>0.64225</cdr:y>
    </cdr:to>
    <cdr:sp>
      <cdr:nvSpPr>
        <cdr:cNvPr id="2" name="Line 2"/>
        <cdr:cNvSpPr>
          <a:spLocks/>
        </cdr:cNvSpPr>
      </cdr:nvSpPr>
      <cdr:spPr>
        <a:xfrm>
          <a:off x="485775" y="4095750"/>
          <a:ext cx="79248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0.0565</cdr:x>
      <cdr:y>0.532</cdr:y>
    </cdr:from>
    <cdr:to>
      <cdr:x>0.96925</cdr:x>
      <cdr:y>0.532</cdr:y>
    </cdr:to>
    <cdr:sp>
      <cdr:nvSpPr>
        <cdr:cNvPr id="3" name="Line 3"/>
        <cdr:cNvSpPr>
          <a:spLocks/>
        </cdr:cNvSpPr>
      </cdr:nvSpPr>
      <cdr:spPr>
        <a:xfrm>
          <a:off x="485775" y="3390900"/>
          <a:ext cx="79248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0.0565</cdr:x>
      <cdr:y>0.452</cdr:y>
    </cdr:from>
    <cdr:to>
      <cdr:x>0.96925</cdr:x>
      <cdr:y>0.452</cdr:y>
    </cdr:to>
    <cdr:sp>
      <cdr:nvSpPr>
        <cdr:cNvPr id="4" name="Line 4"/>
        <cdr:cNvSpPr>
          <a:spLocks/>
        </cdr:cNvSpPr>
      </cdr:nvSpPr>
      <cdr:spPr>
        <a:xfrm flipV="1">
          <a:off x="485775" y="2886075"/>
          <a:ext cx="79248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0.0565</cdr:x>
      <cdr:y>0.61375</cdr:y>
    </cdr:from>
    <cdr:to>
      <cdr:x>0.2245</cdr:x>
      <cdr:y>0.64275</cdr:y>
    </cdr:to>
    <cdr:sp>
      <cdr:nvSpPr>
        <cdr:cNvPr id="5" name="TextBox 5"/>
        <cdr:cNvSpPr txBox="1">
          <a:spLocks noChangeArrowheads="1"/>
        </cdr:cNvSpPr>
      </cdr:nvSpPr>
      <cdr:spPr>
        <a:xfrm>
          <a:off x="485775" y="3914775"/>
          <a:ext cx="1457325" cy="180975"/>
        </a:xfrm>
        <a:prstGeom prst="rect">
          <a:avLst/>
        </a:prstGeom>
        <a:noFill/>
        <a:ln w="9525" cmpd="sng">
          <a:noFill/>
        </a:ln>
      </cdr:spPr>
      <cdr:txBody>
        <a:bodyPr vertOverflow="clip" wrap="square"/>
        <a:p>
          <a:pPr algn="l">
            <a:defRPr/>
          </a:pPr>
          <a:r>
            <a:rPr lang="en-US" cap="none" sz="1000" b="0" i="0" u="none" baseline="0"/>
            <a:t>"3" Minimum Score = 43</a:t>
          </a:r>
        </a:p>
      </cdr:txBody>
    </cdr:sp>
  </cdr:relSizeAnchor>
  <cdr:relSizeAnchor xmlns:cdr="http://schemas.openxmlformats.org/drawingml/2006/chartDrawing">
    <cdr:from>
      <cdr:x>0.0565</cdr:x>
      <cdr:y>0.689</cdr:y>
    </cdr:from>
    <cdr:to>
      <cdr:x>0.20625</cdr:x>
      <cdr:y>0.71325</cdr:y>
    </cdr:to>
    <cdr:sp>
      <cdr:nvSpPr>
        <cdr:cNvPr id="6" name="TextBox 6"/>
        <cdr:cNvSpPr txBox="1">
          <a:spLocks noChangeArrowheads="1"/>
        </cdr:cNvSpPr>
      </cdr:nvSpPr>
      <cdr:spPr>
        <a:xfrm>
          <a:off x="485775" y="4400550"/>
          <a:ext cx="1295400" cy="152400"/>
        </a:xfrm>
        <a:prstGeom prst="rect">
          <a:avLst/>
        </a:prstGeom>
        <a:noFill/>
        <a:ln w="9525" cmpd="sng">
          <a:noFill/>
        </a:ln>
      </cdr:spPr>
      <cdr:txBody>
        <a:bodyPr vertOverflow="clip" wrap="square"/>
        <a:p>
          <a:pPr algn="l">
            <a:defRPr/>
          </a:pPr>
          <a:r>
            <a:rPr lang="en-US" cap="none" sz="1000" b="0" i="0" u="none" baseline="0"/>
            <a:t>"2" Min Score = 27</a:t>
          </a:r>
        </a:p>
      </cdr:txBody>
    </cdr:sp>
  </cdr:relSizeAnchor>
  <cdr:relSizeAnchor xmlns:cdr="http://schemas.openxmlformats.org/drawingml/2006/chartDrawing">
    <cdr:from>
      <cdr:x>0.05375</cdr:x>
      <cdr:y>0.498</cdr:y>
    </cdr:from>
    <cdr:to>
      <cdr:x>0.228</cdr:x>
      <cdr:y>0.52975</cdr:y>
    </cdr:to>
    <cdr:sp>
      <cdr:nvSpPr>
        <cdr:cNvPr id="7" name="TextBox 7"/>
        <cdr:cNvSpPr txBox="1">
          <a:spLocks noChangeArrowheads="1"/>
        </cdr:cNvSpPr>
      </cdr:nvSpPr>
      <cdr:spPr>
        <a:xfrm>
          <a:off x="457200" y="3181350"/>
          <a:ext cx="1514475" cy="200025"/>
        </a:xfrm>
        <a:prstGeom prst="rect">
          <a:avLst/>
        </a:prstGeom>
        <a:noFill/>
        <a:ln w="9525" cmpd="sng">
          <a:noFill/>
        </a:ln>
      </cdr:spPr>
      <cdr:txBody>
        <a:bodyPr vertOverflow="clip" wrap="square"/>
        <a:p>
          <a:pPr algn="l">
            <a:defRPr/>
          </a:pPr>
          <a:r>
            <a:rPr lang="en-US" cap="none" sz="1000" b="0" i="0" u="none" baseline="0"/>
            <a:t>"4" Minimum Score = 62</a:t>
          </a:r>
        </a:p>
      </cdr:txBody>
    </cdr:sp>
  </cdr:relSizeAnchor>
  <cdr:relSizeAnchor xmlns:cdr="http://schemas.openxmlformats.org/drawingml/2006/chartDrawing">
    <cdr:from>
      <cdr:x>0.0565</cdr:x>
      <cdr:y>0.4215</cdr:y>
    </cdr:from>
    <cdr:to>
      <cdr:x>0.219</cdr:x>
      <cdr:y>0.45125</cdr:y>
    </cdr:to>
    <cdr:sp>
      <cdr:nvSpPr>
        <cdr:cNvPr id="8" name="TextBox 8"/>
        <cdr:cNvSpPr txBox="1">
          <a:spLocks noChangeArrowheads="1"/>
        </cdr:cNvSpPr>
      </cdr:nvSpPr>
      <cdr:spPr>
        <a:xfrm>
          <a:off x="485775" y="2686050"/>
          <a:ext cx="1409700" cy="190500"/>
        </a:xfrm>
        <a:prstGeom prst="rect">
          <a:avLst/>
        </a:prstGeom>
        <a:noFill/>
        <a:ln w="9525" cmpd="sng">
          <a:noFill/>
        </a:ln>
      </cdr:spPr>
      <cdr:txBody>
        <a:bodyPr vertOverflow="clip" wrap="square"/>
        <a:p>
          <a:pPr algn="l">
            <a:defRPr/>
          </a:pPr>
          <a:r>
            <a:rPr lang="en-US" cap="none" sz="1000" b="0" i="0" u="none" baseline="0"/>
            <a:t>"5" Minimum Score = 78</a:t>
          </a:r>
        </a:p>
      </cdr:txBody>
    </cdr:sp>
  </cdr:relSizeAnchor>
  <cdr:relSizeAnchor xmlns:cdr="http://schemas.openxmlformats.org/drawingml/2006/chartDrawing">
    <cdr:from>
      <cdr:x>0.297</cdr:x>
      <cdr:y>0.28625</cdr:y>
    </cdr:from>
    <cdr:to>
      <cdr:x>0.697</cdr:x>
      <cdr:y>0.406</cdr:y>
    </cdr:to>
    <cdr:sp>
      <cdr:nvSpPr>
        <cdr:cNvPr id="9" name="TextBox 9"/>
        <cdr:cNvSpPr txBox="1">
          <a:spLocks noChangeArrowheads="1"/>
        </cdr:cNvSpPr>
      </cdr:nvSpPr>
      <cdr:spPr>
        <a:xfrm>
          <a:off x="2571750" y="1828800"/>
          <a:ext cx="3467100" cy="7620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Note: Each point on an Essay is worth the same
as </a:t>
          </a:r>
          <a:r>
            <a:rPr lang="en-US" cap="none" sz="1200" b="1" i="0" u="none" baseline="0">
              <a:latin typeface="Arial"/>
              <a:ea typeface="Arial"/>
              <a:cs typeface="Arial"/>
            </a:rPr>
            <a:t>2.07</a:t>
          </a:r>
          <a:r>
            <a:rPr lang="en-US" cap="none" sz="1200" b="0" i="0" u="none" baseline="0">
              <a:latin typeface="Arial"/>
              <a:ea typeface="Arial"/>
              <a:cs typeface="Arial"/>
            </a:rPr>
            <a:t> points on the Multiple Choice section.
(It pays to be a good writer!)</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0.0565</cdr:x>
      <cdr:y>0.69275</cdr:y>
    </cdr:from>
    <cdr:to>
      <cdr:x>0.99075</cdr:x>
      <cdr:y>0.6935</cdr:y>
    </cdr:to>
    <cdr:sp>
      <cdr:nvSpPr>
        <cdr:cNvPr id="1" name="Line 1"/>
        <cdr:cNvSpPr>
          <a:spLocks/>
        </cdr:cNvSpPr>
      </cdr:nvSpPr>
      <cdr:spPr>
        <a:xfrm>
          <a:off x="485775" y="4419600"/>
          <a:ext cx="8105775" cy="9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0.0565</cdr:x>
      <cdr:y>0.60525</cdr:y>
    </cdr:from>
    <cdr:to>
      <cdr:x>0.99075</cdr:x>
      <cdr:y>0.60525</cdr:y>
    </cdr:to>
    <cdr:sp>
      <cdr:nvSpPr>
        <cdr:cNvPr id="2" name="Line 2"/>
        <cdr:cNvSpPr>
          <a:spLocks/>
        </cdr:cNvSpPr>
      </cdr:nvSpPr>
      <cdr:spPr>
        <a:xfrm>
          <a:off x="485775" y="3867150"/>
          <a:ext cx="810577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0.0565</cdr:x>
      <cdr:y>0.52325</cdr:y>
    </cdr:from>
    <cdr:to>
      <cdr:x>0.99075</cdr:x>
      <cdr:y>0.52325</cdr:y>
    </cdr:to>
    <cdr:sp>
      <cdr:nvSpPr>
        <cdr:cNvPr id="3" name="Line 3"/>
        <cdr:cNvSpPr>
          <a:spLocks/>
        </cdr:cNvSpPr>
      </cdr:nvSpPr>
      <cdr:spPr>
        <a:xfrm>
          <a:off x="485775" y="3343275"/>
          <a:ext cx="810577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0.0565</cdr:x>
      <cdr:y>0.447</cdr:y>
    </cdr:from>
    <cdr:to>
      <cdr:x>0.99075</cdr:x>
      <cdr:y>0.447</cdr:y>
    </cdr:to>
    <cdr:sp>
      <cdr:nvSpPr>
        <cdr:cNvPr id="4" name="Line 4"/>
        <cdr:cNvSpPr>
          <a:spLocks/>
        </cdr:cNvSpPr>
      </cdr:nvSpPr>
      <cdr:spPr>
        <a:xfrm>
          <a:off x="485775" y="2847975"/>
          <a:ext cx="810577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0.0565</cdr:x>
      <cdr:y>0.57525</cdr:y>
    </cdr:from>
    <cdr:to>
      <cdr:x>0.219</cdr:x>
      <cdr:y>0.6045</cdr:y>
    </cdr:to>
    <cdr:sp>
      <cdr:nvSpPr>
        <cdr:cNvPr id="5" name="TextBox 5"/>
        <cdr:cNvSpPr txBox="1">
          <a:spLocks noChangeArrowheads="1"/>
        </cdr:cNvSpPr>
      </cdr:nvSpPr>
      <cdr:spPr>
        <a:xfrm>
          <a:off x="485775" y="3667125"/>
          <a:ext cx="1409700" cy="190500"/>
        </a:xfrm>
        <a:prstGeom prst="rect">
          <a:avLst/>
        </a:prstGeom>
        <a:noFill/>
        <a:ln w="9525" cmpd="sng">
          <a:noFill/>
        </a:ln>
      </cdr:spPr>
      <cdr:txBody>
        <a:bodyPr vertOverflow="clip" wrap="square"/>
        <a:p>
          <a:pPr algn="l">
            <a:defRPr/>
          </a:pPr>
          <a:r>
            <a:rPr lang="en-US" cap="none" sz="1000" b="0" i="0" u="none" baseline="0"/>
            <a:t>"3" Minimum Score = 43</a:t>
          </a:r>
        </a:p>
      </cdr:txBody>
    </cdr:sp>
  </cdr:relSizeAnchor>
  <cdr:relSizeAnchor xmlns:cdr="http://schemas.openxmlformats.org/drawingml/2006/chartDrawing">
    <cdr:from>
      <cdr:x>0.0565</cdr:x>
      <cdr:y>0.659</cdr:y>
    </cdr:from>
    <cdr:to>
      <cdr:x>0.19075</cdr:x>
      <cdr:y>0.69375</cdr:y>
    </cdr:to>
    <cdr:sp>
      <cdr:nvSpPr>
        <cdr:cNvPr id="6" name="TextBox 6"/>
        <cdr:cNvSpPr txBox="1">
          <a:spLocks noChangeArrowheads="1"/>
        </cdr:cNvSpPr>
      </cdr:nvSpPr>
      <cdr:spPr>
        <a:xfrm>
          <a:off x="485775" y="4210050"/>
          <a:ext cx="1162050" cy="219075"/>
        </a:xfrm>
        <a:prstGeom prst="rect">
          <a:avLst/>
        </a:prstGeom>
        <a:noFill/>
        <a:ln w="9525" cmpd="sng">
          <a:noFill/>
        </a:ln>
      </cdr:spPr>
      <cdr:txBody>
        <a:bodyPr vertOverflow="clip" wrap="square"/>
        <a:p>
          <a:pPr algn="l">
            <a:defRPr/>
          </a:pPr>
          <a:r>
            <a:rPr lang="en-US" cap="none" sz="1000" b="0" i="0" u="none" baseline="0"/>
            <a:t>"2" Min Score = 27</a:t>
          </a:r>
        </a:p>
      </cdr:txBody>
    </cdr:sp>
  </cdr:relSizeAnchor>
  <cdr:relSizeAnchor xmlns:cdr="http://schemas.openxmlformats.org/drawingml/2006/chartDrawing">
    <cdr:from>
      <cdr:x>0.0565</cdr:x>
      <cdr:y>0.4895</cdr:y>
    </cdr:from>
    <cdr:to>
      <cdr:x>0.23075</cdr:x>
      <cdr:y>0.52275</cdr:y>
    </cdr:to>
    <cdr:sp>
      <cdr:nvSpPr>
        <cdr:cNvPr id="7" name="TextBox 7"/>
        <cdr:cNvSpPr txBox="1">
          <a:spLocks noChangeArrowheads="1"/>
        </cdr:cNvSpPr>
      </cdr:nvSpPr>
      <cdr:spPr>
        <a:xfrm>
          <a:off x="485775" y="3124200"/>
          <a:ext cx="1514475" cy="209550"/>
        </a:xfrm>
        <a:prstGeom prst="rect">
          <a:avLst/>
        </a:prstGeom>
        <a:noFill/>
        <a:ln w="9525" cmpd="sng">
          <a:noFill/>
        </a:ln>
      </cdr:spPr>
      <cdr:txBody>
        <a:bodyPr vertOverflow="clip" wrap="square"/>
        <a:p>
          <a:pPr algn="l">
            <a:defRPr/>
          </a:pPr>
          <a:r>
            <a:rPr lang="en-US" cap="none" sz="1000" b="0" i="0" u="none" baseline="0"/>
            <a:t>"4" Minimum Score = 60</a:t>
          </a:r>
        </a:p>
      </cdr:txBody>
    </cdr:sp>
  </cdr:relSizeAnchor>
  <cdr:relSizeAnchor xmlns:cdr="http://schemas.openxmlformats.org/drawingml/2006/chartDrawing">
    <cdr:from>
      <cdr:x>0.05675</cdr:x>
      <cdr:y>0.414</cdr:y>
    </cdr:from>
    <cdr:to>
      <cdr:x>0.22475</cdr:x>
      <cdr:y>0.446</cdr:y>
    </cdr:to>
    <cdr:sp>
      <cdr:nvSpPr>
        <cdr:cNvPr id="8" name="TextBox 8"/>
        <cdr:cNvSpPr txBox="1">
          <a:spLocks noChangeArrowheads="1"/>
        </cdr:cNvSpPr>
      </cdr:nvSpPr>
      <cdr:spPr>
        <a:xfrm>
          <a:off x="485775" y="2638425"/>
          <a:ext cx="1457325" cy="200025"/>
        </a:xfrm>
        <a:prstGeom prst="rect">
          <a:avLst/>
        </a:prstGeom>
        <a:noFill/>
        <a:ln w="9525" cmpd="sng">
          <a:noFill/>
        </a:ln>
      </cdr:spPr>
      <cdr:txBody>
        <a:bodyPr vertOverflow="clip" wrap="square"/>
        <a:p>
          <a:pPr algn="l">
            <a:defRPr/>
          </a:pPr>
          <a:r>
            <a:rPr lang="en-US" cap="none" sz="1000" b="0" i="0" u="none" baseline="0"/>
            <a:t>"5" Minimum Score = 74</a:t>
          </a:r>
        </a:p>
      </cdr:txBody>
    </cdr:sp>
  </cdr:relSizeAnchor>
  <cdr:relSizeAnchor xmlns:cdr="http://schemas.openxmlformats.org/drawingml/2006/chartDrawing">
    <cdr:from>
      <cdr:x>0.29125</cdr:x>
      <cdr:y>0.28675</cdr:y>
    </cdr:from>
    <cdr:to>
      <cdr:x>0.712</cdr:x>
      <cdr:y>0.3905</cdr:y>
    </cdr:to>
    <cdr:sp>
      <cdr:nvSpPr>
        <cdr:cNvPr id="9" name="TextBox 9"/>
        <cdr:cNvSpPr txBox="1">
          <a:spLocks noChangeArrowheads="1"/>
        </cdr:cNvSpPr>
      </cdr:nvSpPr>
      <cdr:spPr>
        <a:xfrm>
          <a:off x="2524125" y="1828800"/>
          <a:ext cx="3648075" cy="66675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Note: Each point on an Essay is worth the same
as </a:t>
          </a:r>
          <a:r>
            <a:rPr lang="en-US" cap="none" sz="1200" b="1" i="0" u="none" baseline="0">
              <a:latin typeface="Arial"/>
              <a:ea typeface="Arial"/>
              <a:cs typeface="Arial"/>
            </a:rPr>
            <a:t>2.07</a:t>
          </a:r>
          <a:r>
            <a:rPr lang="en-US" cap="none" sz="1200" b="0" i="0" u="none" baseline="0">
              <a:latin typeface="Arial"/>
              <a:ea typeface="Arial"/>
              <a:cs typeface="Arial"/>
            </a:rPr>
            <a:t> points on the Multiple Choice section.
(It pays to be a good writer!)</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0.20775</cdr:x>
      <cdr:y>0.14025</cdr:y>
    </cdr:from>
    <cdr:to>
      <cdr:x>0.20775</cdr:x>
      <cdr:y>0.82575</cdr:y>
    </cdr:to>
    <cdr:sp>
      <cdr:nvSpPr>
        <cdr:cNvPr id="1" name="Line 1"/>
        <cdr:cNvSpPr>
          <a:spLocks/>
        </cdr:cNvSpPr>
      </cdr:nvSpPr>
      <cdr:spPr>
        <a:xfrm flipV="1">
          <a:off x="1800225"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0.33725</cdr:x>
      <cdr:y>0.14025</cdr:y>
    </cdr:from>
    <cdr:to>
      <cdr:x>0.33725</cdr:x>
      <cdr:y>0.82575</cdr:y>
    </cdr:to>
    <cdr:sp>
      <cdr:nvSpPr>
        <cdr:cNvPr id="2" name="Line 2"/>
        <cdr:cNvSpPr>
          <a:spLocks/>
        </cdr:cNvSpPr>
      </cdr:nvSpPr>
      <cdr:spPr>
        <a:xfrm flipV="1">
          <a:off x="2924175"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0.468</cdr:x>
      <cdr:y>0.14025</cdr:y>
    </cdr:from>
    <cdr:to>
      <cdr:x>0.468</cdr:x>
      <cdr:y>0.82575</cdr:y>
    </cdr:to>
    <cdr:sp>
      <cdr:nvSpPr>
        <cdr:cNvPr id="3" name="Line 3"/>
        <cdr:cNvSpPr>
          <a:spLocks/>
        </cdr:cNvSpPr>
      </cdr:nvSpPr>
      <cdr:spPr>
        <a:xfrm flipH="1" flipV="1">
          <a:off x="4057650"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0.59675</cdr:x>
      <cdr:y>0.14025</cdr:y>
    </cdr:from>
    <cdr:to>
      <cdr:x>0.59675</cdr:x>
      <cdr:y>0.82575</cdr:y>
    </cdr:to>
    <cdr:sp>
      <cdr:nvSpPr>
        <cdr:cNvPr id="4" name="Line 4"/>
        <cdr:cNvSpPr>
          <a:spLocks/>
        </cdr:cNvSpPr>
      </cdr:nvSpPr>
      <cdr:spPr>
        <a:xfrm flipV="1">
          <a:off x="5172075"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0.7275</cdr:x>
      <cdr:y>0.14025</cdr:y>
    </cdr:from>
    <cdr:to>
      <cdr:x>0.72825</cdr:x>
      <cdr:y>0.82575</cdr:y>
    </cdr:to>
    <cdr:sp>
      <cdr:nvSpPr>
        <cdr:cNvPr id="5" name="Line 5"/>
        <cdr:cNvSpPr>
          <a:spLocks/>
        </cdr:cNvSpPr>
      </cdr:nvSpPr>
      <cdr:spPr>
        <a:xfrm flipV="1">
          <a:off x="6305550" y="828675"/>
          <a:ext cx="9525"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0.859</cdr:x>
      <cdr:y>0.14025</cdr:y>
    </cdr:from>
    <cdr:to>
      <cdr:x>0.859</cdr:x>
      <cdr:y>0.82575</cdr:y>
    </cdr:to>
    <cdr:sp>
      <cdr:nvSpPr>
        <cdr:cNvPr id="6" name="Line 6"/>
        <cdr:cNvSpPr>
          <a:spLocks/>
        </cdr:cNvSpPr>
      </cdr:nvSpPr>
      <cdr:spPr>
        <a:xfrm flipV="1">
          <a:off x="7448550"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0.40675</cdr:x>
      <cdr:y>0.768</cdr:y>
    </cdr:from>
    <cdr:to>
      <cdr:x>0.50825</cdr:x>
      <cdr:y>0.82625</cdr:y>
    </cdr:to>
    <cdr:sp>
      <cdr:nvSpPr>
        <cdr:cNvPr id="7" name="TextBox 7"/>
        <cdr:cNvSpPr txBox="1">
          <a:spLocks noChangeArrowheads="1"/>
        </cdr:cNvSpPr>
      </cdr:nvSpPr>
      <cdr:spPr>
        <a:xfrm>
          <a:off x="3524250" y="4552950"/>
          <a:ext cx="876300" cy="342900"/>
        </a:xfrm>
        <a:prstGeom prst="rect">
          <a:avLst/>
        </a:prstGeom>
        <a:noFill/>
        <a:ln w="9525" cmpd="sng">
          <a:noFill/>
        </a:ln>
      </cdr:spPr>
      <cdr:txBody>
        <a:bodyPr vertOverflow="clip" wrap="square"/>
        <a:p>
          <a:pPr algn="ctr">
            <a:defRPr/>
          </a:pPr>
          <a:r>
            <a:rPr lang="en-US" cap="none" sz="1000" b="0" i="0" u="none" baseline="0"/>
            <a:t>Question #29 thrown out</a:t>
          </a:r>
        </a:p>
      </cdr:txBody>
    </cdr:sp>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0.20775</cdr:x>
      <cdr:y>0.14025</cdr:y>
    </cdr:from>
    <cdr:to>
      <cdr:x>0.20775</cdr:x>
      <cdr:y>0.82575</cdr:y>
    </cdr:to>
    <cdr:sp>
      <cdr:nvSpPr>
        <cdr:cNvPr id="1" name="Line 1"/>
        <cdr:cNvSpPr>
          <a:spLocks/>
        </cdr:cNvSpPr>
      </cdr:nvSpPr>
      <cdr:spPr>
        <a:xfrm flipV="1">
          <a:off x="1800225"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0.33725</cdr:x>
      <cdr:y>0.14025</cdr:y>
    </cdr:from>
    <cdr:to>
      <cdr:x>0.33725</cdr:x>
      <cdr:y>0.82575</cdr:y>
    </cdr:to>
    <cdr:sp>
      <cdr:nvSpPr>
        <cdr:cNvPr id="2" name="Line 2"/>
        <cdr:cNvSpPr>
          <a:spLocks/>
        </cdr:cNvSpPr>
      </cdr:nvSpPr>
      <cdr:spPr>
        <a:xfrm flipV="1">
          <a:off x="2924175"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0.468</cdr:x>
      <cdr:y>0.14025</cdr:y>
    </cdr:from>
    <cdr:to>
      <cdr:x>0.468</cdr:x>
      <cdr:y>0.82575</cdr:y>
    </cdr:to>
    <cdr:sp>
      <cdr:nvSpPr>
        <cdr:cNvPr id="3" name="Line 3"/>
        <cdr:cNvSpPr>
          <a:spLocks/>
        </cdr:cNvSpPr>
      </cdr:nvSpPr>
      <cdr:spPr>
        <a:xfrm flipH="1" flipV="1">
          <a:off x="4057650"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0.59675</cdr:x>
      <cdr:y>0.14025</cdr:y>
    </cdr:from>
    <cdr:to>
      <cdr:x>0.59675</cdr:x>
      <cdr:y>0.82575</cdr:y>
    </cdr:to>
    <cdr:sp>
      <cdr:nvSpPr>
        <cdr:cNvPr id="4" name="Line 4"/>
        <cdr:cNvSpPr>
          <a:spLocks/>
        </cdr:cNvSpPr>
      </cdr:nvSpPr>
      <cdr:spPr>
        <a:xfrm flipV="1">
          <a:off x="5172075"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0.7275</cdr:x>
      <cdr:y>0.14025</cdr:y>
    </cdr:from>
    <cdr:to>
      <cdr:x>0.72825</cdr:x>
      <cdr:y>0.82575</cdr:y>
    </cdr:to>
    <cdr:sp>
      <cdr:nvSpPr>
        <cdr:cNvPr id="5" name="Line 5"/>
        <cdr:cNvSpPr>
          <a:spLocks/>
        </cdr:cNvSpPr>
      </cdr:nvSpPr>
      <cdr:spPr>
        <a:xfrm flipV="1">
          <a:off x="6305550" y="828675"/>
          <a:ext cx="9525"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0.859</cdr:x>
      <cdr:y>0.14025</cdr:y>
    </cdr:from>
    <cdr:to>
      <cdr:x>0.859</cdr:x>
      <cdr:y>0.82575</cdr:y>
    </cdr:to>
    <cdr:sp>
      <cdr:nvSpPr>
        <cdr:cNvPr id="6" name="Line 6"/>
        <cdr:cNvSpPr>
          <a:spLocks/>
        </cdr:cNvSpPr>
      </cdr:nvSpPr>
      <cdr:spPr>
        <a:xfrm flipV="1">
          <a:off x="7448550" y="828675"/>
          <a:ext cx="0" cy="40671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0.20775</cdr:x>
      <cdr:y>0.2405</cdr:y>
    </cdr:from>
    <cdr:to>
      <cdr:x>0.20775</cdr:x>
      <cdr:y>0.82775</cdr:y>
    </cdr:to>
    <cdr:sp>
      <cdr:nvSpPr>
        <cdr:cNvPr id="1" name="Line 1"/>
        <cdr:cNvSpPr>
          <a:spLocks/>
        </cdr:cNvSpPr>
      </cdr:nvSpPr>
      <cdr:spPr>
        <a:xfrm flipV="1">
          <a:off x="1800225" y="1419225"/>
          <a:ext cx="0" cy="34861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0.33725</cdr:x>
      <cdr:y>0.2405</cdr:y>
    </cdr:from>
    <cdr:to>
      <cdr:x>0.33725</cdr:x>
      <cdr:y>0.82775</cdr:y>
    </cdr:to>
    <cdr:sp>
      <cdr:nvSpPr>
        <cdr:cNvPr id="2" name="Line 2"/>
        <cdr:cNvSpPr>
          <a:spLocks/>
        </cdr:cNvSpPr>
      </cdr:nvSpPr>
      <cdr:spPr>
        <a:xfrm flipV="1">
          <a:off x="2924175" y="1419225"/>
          <a:ext cx="0" cy="34861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0.468</cdr:x>
      <cdr:y>0.2405</cdr:y>
    </cdr:from>
    <cdr:to>
      <cdr:x>0.468</cdr:x>
      <cdr:y>0.82775</cdr:y>
    </cdr:to>
    <cdr:sp>
      <cdr:nvSpPr>
        <cdr:cNvPr id="3" name="Line 3"/>
        <cdr:cNvSpPr>
          <a:spLocks/>
        </cdr:cNvSpPr>
      </cdr:nvSpPr>
      <cdr:spPr>
        <a:xfrm flipH="1" flipV="1">
          <a:off x="4057650" y="1419225"/>
          <a:ext cx="0" cy="34861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0.59675</cdr:x>
      <cdr:y>0.2405</cdr:y>
    </cdr:from>
    <cdr:to>
      <cdr:x>0.59675</cdr:x>
      <cdr:y>0.82775</cdr:y>
    </cdr:to>
    <cdr:sp>
      <cdr:nvSpPr>
        <cdr:cNvPr id="4" name="Line 4"/>
        <cdr:cNvSpPr>
          <a:spLocks/>
        </cdr:cNvSpPr>
      </cdr:nvSpPr>
      <cdr:spPr>
        <a:xfrm flipV="1">
          <a:off x="5172075" y="1419225"/>
          <a:ext cx="0" cy="34861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0.7275</cdr:x>
      <cdr:y>0.2405</cdr:y>
    </cdr:from>
    <cdr:to>
      <cdr:x>0.72825</cdr:x>
      <cdr:y>0.82775</cdr:y>
    </cdr:to>
    <cdr:sp>
      <cdr:nvSpPr>
        <cdr:cNvPr id="5" name="Line 5"/>
        <cdr:cNvSpPr>
          <a:spLocks/>
        </cdr:cNvSpPr>
      </cdr:nvSpPr>
      <cdr:spPr>
        <a:xfrm flipV="1">
          <a:off x="6305550" y="1419225"/>
          <a:ext cx="9525" cy="34861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0.859</cdr:x>
      <cdr:y>0.2405</cdr:y>
    </cdr:from>
    <cdr:to>
      <cdr:x>0.859</cdr:x>
      <cdr:y>0.82775</cdr:y>
    </cdr:to>
    <cdr:sp>
      <cdr:nvSpPr>
        <cdr:cNvPr id="6" name="Line 6"/>
        <cdr:cNvSpPr>
          <a:spLocks/>
        </cdr:cNvSpPr>
      </cdr:nvSpPr>
      <cdr:spPr>
        <a:xfrm flipV="1">
          <a:off x="7448550" y="1419225"/>
          <a:ext cx="0" cy="34861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0.81975</cdr:x>
      <cdr:y>0.44775</cdr:y>
    </cdr:from>
    <cdr:to>
      <cdr:x>0.9915</cdr:x>
      <cdr:y>0.48725</cdr:y>
    </cdr:to>
    <cdr:sp>
      <cdr:nvSpPr>
        <cdr:cNvPr id="7" name="TextBox 7"/>
        <cdr:cNvSpPr txBox="1">
          <a:spLocks noChangeArrowheads="1"/>
        </cdr:cNvSpPr>
      </cdr:nvSpPr>
      <cdr:spPr>
        <a:xfrm>
          <a:off x="7105650" y="2647950"/>
          <a:ext cx="1485900" cy="238125"/>
        </a:xfrm>
        <a:prstGeom prst="rect">
          <a:avLst/>
        </a:prstGeom>
        <a:noFill/>
        <a:ln w="9525" cmpd="sng">
          <a:noFill/>
        </a:ln>
      </cdr:spPr>
      <cdr:txBody>
        <a:bodyPr vertOverflow="clip" wrap="square"/>
        <a:p>
          <a:pPr algn="r">
            <a:defRPr/>
          </a:pPr>
          <a:r>
            <a:rPr lang="en-US" cap="none" sz="1000" b="1" i="0" u="none" baseline="0"/>
            <a:t>2007 Average = 57.7%</a:t>
          </a:r>
        </a:p>
      </cdr:txBody>
    </cdr:sp>
  </cdr:relSizeAnchor>
  <cdr:relSizeAnchor xmlns:cdr="http://schemas.openxmlformats.org/drawingml/2006/chartDrawing">
    <cdr:from>
      <cdr:x>0.81975</cdr:x>
      <cdr:y>0.54375</cdr:y>
    </cdr:from>
    <cdr:to>
      <cdr:x>0.997</cdr:x>
      <cdr:y>0.58325</cdr:y>
    </cdr:to>
    <cdr:sp>
      <cdr:nvSpPr>
        <cdr:cNvPr id="8" name="TextBox 8"/>
        <cdr:cNvSpPr txBox="1">
          <a:spLocks noChangeArrowheads="1"/>
        </cdr:cNvSpPr>
      </cdr:nvSpPr>
      <cdr:spPr>
        <a:xfrm>
          <a:off x="7105650" y="3219450"/>
          <a:ext cx="1533525" cy="238125"/>
        </a:xfrm>
        <a:prstGeom prst="rect">
          <a:avLst/>
        </a:prstGeom>
        <a:noFill/>
        <a:ln w="9525" cmpd="sng">
          <a:noFill/>
        </a:ln>
      </cdr:spPr>
      <cdr:txBody>
        <a:bodyPr vertOverflow="clip" wrap="square"/>
        <a:p>
          <a:pPr algn="r">
            <a:defRPr/>
          </a:pPr>
          <a:r>
            <a:rPr lang="en-US" cap="none" sz="1000" b="1" i="0" u="none" baseline="0"/>
            <a:t>2002 Average = 50.2%</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0.20975</cdr:x>
      <cdr:y>0.16675</cdr:y>
    </cdr:from>
    <cdr:to>
      <cdr:x>0.20975</cdr:x>
      <cdr:y>0.83175</cdr:y>
    </cdr:to>
    <cdr:sp>
      <cdr:nvSpPr>
        <cdr:cNvPr id="1" name="Line 1"/>
        <cdr:cNvSpPr>
          <a:spLocks/>
        </cdr:cNvSpPr>
      </cdr:nvSpPr>
      <cdr:spPr>
        <a:xfrm flipH="1" flipV="1">
          <a:off x="1819275" y="981075"/>
          <a:ext cx="0"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0.33725</cdr:x>
      <cdr:y>0.16675</cdr:y>
    </cdr:from>
    <cdr:to>
      <cdr:x>0.33725</cdr:x>
      <cdr:y>0.83175</cdr:y>
    </cdr:to>
    <cdr:sp>
      <cdr:nvSpPr>
        <cdr:cNvPr id="2" name="Line 2"/>
        <cdr:cNvSpPr>
          <a:spLocks/>
        </cdr:cNvSpPr>
      </cdr:nvSpPr>
      <cdr:spPr>
        <a:xfrm flipV="1">
          <a:off x="2924175" y="981075"/>
          <a:ext cx="0"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0.46875</cdr:x>
      <cdr:y>0.16675</cdr:y>
    </cdr:from>
    <cdr:to>
      <cdr:x>0.46875</cdr:x>
      <cdr:y>0.83175</cdr:y>
    </cdr:to>
    <cdr:sp>
      <cdr:nvSpPr>
        <cdr:cNvPr id="3" name="Line 3"/>
        <cdr:cNvSpPr>
          <a:spLocks/>
        </cdr:cNvSpPr>
      </cdr:nvSpPr>
      <cdr:spPr>
        <a:xfrm flipV="1">
          <a:off x="4067175" y="981075"/>
          <a:ext cx="0"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0.5965</cdr:x>
      <cdr:y>0.16675</cdr:y>
    </cdr:from>
    <cdr:to>
      <cdr:x>0.59725</cdr:x>
      <cdr:y>0.83175</cdr:y>
    </cdr:to>
    <cdr:sp>
      <cdr:nvSpPr>
        <cdr:cNvPr id="4" name="Line 4"/>
        <cdr:cNvSpPr>
          <a:spLocks/>
        </cdr:cNvSpPr>
      </cdr:nvSpPr>
      <cdr:spPr>
        <a:xfrm flipH="1" flipV="1">
          <a:off x="5172075" y="981075"/>
          <a:ext cx="9525"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0.72875</cdr:x>
      <cdr:y>0.16675</cdr:y>
    </cdr:from>
    <cdr:to>
      <cdr:x>0.72875</cdr:x>
      <cdr:y>0.83075</cdr:y>
    </cdr:to>
    <cdr:sp>
      <cdr:nvSpPr>
        <cdr:cNvPr id="5" name="Line 5"/>
        <cdr:cNvSpPr>
          <a:spLocks/>
        </cdr:cNvSpPr>
      </cdr:nvSpPr>
      <cdr:spPr>
        <a:xfrm flipH="1" flipV="1">
          <a:off x="6315075" y="981075"/>
          <a:ext cx="0"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0.85825</cdr:x>
      <cdr:y>0.16675</cdr:y>
    </cdr:from>
    <cdr:to>
      <cdr:x>0.85925</cdr:x>
      <cdr:y>0.83075</cdr:y>
    </cdr:to>
    <cdr:sp>
      <cdr:nvSpPr>
        <cdr:cNvPr id="6" name="Line 6"/>
        <cdr:cNvSpPr>
          <a:spLocks/>
        </cdr:cNvSpPr>
      </cdr:nvSpPr>
      <cdr:spPr>
        <a:xfrm flipV="1">
          <a:off x="7439025" y="981075"/>
          <a:ext cx="9525"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0.122</cdr:x>
      <cdr:y>0.37475</cdr:y>
    </cdr:from>
    <cdr:to>
      <cdr:x>0.1785</cdr:x>
      <cdr:y>0.41</cdr:y>
    </cdr:to>
    <cdr:sp>
      <cdr:nvSpPr>
        <cdr:cNvPr id="7" name="TextBox 7"/>
        <cdr:cNvSpPr txBox="1">
          <a:spLocks noChangeArrowheads="1"/>
        </cdr:cNvSpPr>
      </cdr:nvSpPr>
      <cdr:spPr>
        <a:xfrm>
          <a:off x="1057275" y="2219325"/>
          <a:ext cx="485775" cy="209550"/>
        </a:xfrm>
        <a:prstGeom prst="rect">
          <a:avLst/>
        </a:prstGeom>
        <a:noFill/>
        <a:ln w="9525" cmpd="sng">
          <a:noFill/>
        </a:ln>
      </cdr:spPr>
      <cdr:txBody>
        <a:bodyPr vertOverflow="clip" wrap="square"/>
        <a:p>
          <a:pPr algn="ctr">
            <a:defRPr/>
          </a:pPr>
          <a:r>
            <a:rPr lang="en-US" cap="none" sz="1200" b="1" i="0" u="none" baseline="0"/>
            <a:t>61.3%</a:t>
          </a:r>
        </a:p>
      </cdr:txBody>
    </cdr:sp>
  </cdr:relSizeAnchor>
  <cdr:relSizeAnchor xmlns:cdr="http://schemas.openxmlformats.org/drawingml/2006/chartDrawing">
    <cdr:from>
      <cdr:x>0.24625</cdr:x>
      <cdr:y>0.388</cdr:y>
    </cdr:from>
    <cdr:to>
      <cdr:x>0.309</cdr:x>
      <cdr:y>0.422</cdr:y>
    </cdr:to>
    <cdr:sp>
      <cdr:nvSpPr>
        <cdr:cNvPr id="8" name="TextBox 8"/>
        <cdr:cNvSpPr txBox="1">
          <a:spLocks noChangeArrowheads="1"/>
        </cdr:cNvSpPr>
      </cdr:nvSpPr>
      <cdr:spPr>
        <a:xfrm>
          <a:off x="2133600" y="2295525"/>
          <a:ext cx="542925" cy="200025"/>
        </a:xfrm>
        <a:prstGeom prst="rect">
          <a:avLst/>
        </a:prstGeom>
        <a:noFill/>
        <a:ln w="9525" cmpd="sng">
          <a:noFill/>
        </a:ln>
      </cdr:spPr>
      <cdr:txBody>
        <a:bodyPr vertOverflow="clip" wrap="square"/>
        <a:p>
          <a:pPr algn="ctr">
            <a:defRPr/>
          </a:pPr>
          <a:r>
            <a:rPr lang="en-US" cap="none" sz="1200" b="1" i="0" u="none" baseline="0"/>
            <a:t>59.1%</a:t>
          </a:r>
        </a:p>
      </cdr:txBody>
    </cdr:sp>
  </cdr:relSizeAnchor>
  <cdr:relSizeAnchor xmlns:cdr="http://schemas.openxmlformats.org/drawingml/2006/chartDrawing">
    <cdr:from>
      <cdr:x>0.38125</cdr:x>
      <cdr:y>0.4</cdr:y>
    </cdr:from>
    <cdr:to>
      <cdr:x>0.44325</cdr:x>
      <cdr:y>0.43475</cdr:y>
    </cdr:to>
    <cdr:sp>
      <cdr:nvSpPr>
        <cdr:cNvPr id="9" name="TextBox 9"/>
        <cdr:cNvSpPr txBox="1">
          <a:spLocks noChangeArrowheads="1"/>
        </cdr:cNvSpPr>
      </cdr:nvSpPr>
      <cdr:spPr>
        <a:xfrm>
          <a:off x="3305175" y="2371725"/>
          <a:ext cx="533400" cy="209550"/>
        </a:xfrm>
        <a:prstGeom prst="rect">
          <a:avLst/>
        </a:prstGeom>
        <a:noFill/>
        <a:ln w="9525" cmpd="sng">
          <a:noFill/>
        </a:ln>
      </cdr:spPr>
      <cdr:txBody>
        <a:bodyPr vertOverflow="clip" wrap="square"/>
        <a:p>
          <a:pPr algn="ctr">
            <a:defRPr/>
          </a:pPr>
          <a:r>
            <a:rPr lang="en-US" cap="none" sz="1200" b="1" i="0" u="none" baseline="0"/>
            <a:t>57.1%</a:t>
          </a:r>
        </a:p>
      </cdr:txBody>
    </cdr:sp>
  </cdr:relSizeAnchor>
  <cdr:relSizeAnchor xmlns:cdr="http://schemas.openxmlformats.org/drawingml/2006/chartDrawing">
    <cdr:from>
      <cdr:x>0.5025</cdr:x>
      <cdr:y>0.41</cdr:y>
    </cdr:from>
    <cdr:to>
      <cdr:x>0.5645</cdr:x>
      <cdr:y>0.4445</cdr:y>
    </cdr:to>
    <cdr:sp>
      <cdr:nvSpPr>
        <cdr:cNvPr id="10" name="TextBox 10"/>
        <cdr:cNvSpPr txBox="1">
          <a:spLocks noChangeArrowheads="1"/>
        </cdr:cNvSpPr>
      </cdr:nvSpPr>
      <cdr:spPr>
        <a:xfrm>
          <a:off x="4352925" y="2428875"/>
          <a:ext cx="533400" cy="200025"/>
        </a:xfrm>
        <a:prstGeom prst="rect">
          <a:avLst/>
        </a:prstGeom>
        <a:noFill/>
        <a:ln w="9525" cmpd="sng">
          <a:noFill/>
        </a:ln>
      </cdr:spPr>
      <cdr:txBody>
        <a:bodyPr vertOverflow="clip" wrap="square"/>
        <a:p>
          <a:pPr algn="ctr">
            <a:defRPr/>
          </a:pPr>
          <a:r>
            <a:rPr lang="en-US" cap="none" sz="1200" b="1" i="0" u="none" baseline="0"/>
            <a:t>56.5%</a:t>
          </a:r>
        </a:p>
      </cdr:txBody>
    </cdr:sp>
  </cdr:relSizeAnchor>
  <cdr:relSizeAnchor xmlns:cdr="http://schemas.openxmlformats.org/drawingml/2006/chartDrawing">
    <cdr:from>
      <cdr:x>0.633</cdr:x>
      <cdr:y>0.501</cdr:y>
    </cdr:from>
    <cdr:to>
      <cdr:x>0.69675</cdr:x>
      <cdr:y>0.533</cdr:y>
    </cdr:to>
    <cdr:sp>
      <cdr:nvSpPr>
        <cdr:cNvPr id="11" name="TextBox 11"/>
        <cdr:cNvSpPr txBox="1">
          <a:spLocks noChangeArrowheads="1"/>
        </cdr:cNvSpPr>
      </cdr:nvSpPr>
      <cdr:spPr>
        <a:xfrm>
          <a:off x="5486400" y="2971800"/>
          <a:ext cx="552450" cy="190500"/>
        </a:xfrm>
        <a:prstGeom prst="rect">
          <a:avLst/>
        </a:prstGeom>
        <a:noFill/>
        <a:ln w="9525" cmpd="sng">
          <a:noFill/>
        </a:ln>
      </cdr:spPr>
      <cdr:txBody>
        <a:bodyPr vertOverflow="clip" wrap="square"/>
        <a:p>
          <a:pPr algn="ctr">
            <a:defRPr/>
          </a:pPr>
          <a:r>
            <a:rPr lang="en-US" cap="none" sz="1200" b="1" i="0" u="none" baseline="0"/>
            <a:t>43.0%</a:t>
          </a:r>
        </a:p>
      </cdr:txBody>
    </cdr:sp>
  </cdr:relSizeAnchor>
  <cdr:relSizeAnchor xmlns:cdr="http://schemas.openxmlformats.org/drawingml/2006/chartDrawing">
    <cdr:from>
      <cdr:x>0.7615</cdr:x>
      <cdr:y>0.51975</cdr:y>
    </cdr:from>
    <cdr:to>
      <cdr:x>0.8255</cdr:x>
      <cdr:y>0.55175</cdr:y>
    </cdr:to>
    <cdr:sp>
      <cdr:nvSpPr>
        <cdr:cNvPr id="12" name="TextBox 12"/>
        <cdr:cNvSpPr txBox="1">
          <a:spLocks noChangeArrowheads="1"/>
        </cdr:cNvSpPr>
      </cdr:nvSpPr>
      <cdr:spPr>
        <a:xfrm>
          <a:off x="6600825" y="3076575"/>
          <a:ext cx="552450" cy="190500"/>
        </a:xfrm>
        <a:prstGeom prst="rect">
          <a:avLst/>
        </a:prstGeom>
        <a:noFill/>
        <a:ln w="9525" cmpd="sng">
          <a:noFill/>
        </a:ln>
      </cdr:spPr>
      <cdr:txBody>
        <a:bodyPr vertOverflow="clip" wrap="square"/>
        <a:p>
          <a:pPr algn="ctr">
            <a:defRPr/>
          </a:pPr>
          <a:r>
            <a:rPr lang="en-US" cap="none" sz="1200" b="1" i="0" u="none" baseline="0"/>
            <a:t>40.4%</a:t>
          </a:r>
        </a:p>
      </cdr:txBody>
    </cdr:sp>
  </cdr:relSizeAnchor>
  <cdr:relSizeAnchor xmlns:cdr="http://schemas.openxmlformats.org/drawingml/2006/chartDrawing">
    <cdr:from>
      <cdr:x>0.8975</cdr:x>
      <cdr:y>0.563</cdr:y>
    </cdr:from>
    <cdr:to>
      <cdr:x>0.96225</cdr:x>
      <cdr:y>0.59425</cdr:y>
    </cdr:to>
    <cdr:sp>
      <cdr:nvSpPr>
        <cdr:cNvPr id="13" name="TextBox 13"/>
        <cdr:cNvSpPr txBox="1">
          <a:spLocks noChangeArrowheads="1"/>
        </cdr:cNvSpPr>
      </cdr:nvSpPr>
      <cdr:spPr>
        <a:xfrm>
          <a:off x="7781925" y="3333750"/>
          <a:ext cx="561975" cy="180975"/>
        </a:xfrm>
        <a:prstGeom prst="rect">
          <a:avLst/>
        </a:prstGeom>
        <a:noFill/>
        <a:ln w="9525" cmpd="sng">
          <a:noFill/>
        </a:ln>
      </cdr:spPr>
      <cdr:txBody>
        <a:bodyPr vertOverflow="clip" wrap="square"/>
        <a:p>
          <a:pPr algn="ctr">
            <a:defRPr/>
          </a:pPr>
          <a:r>
            <a:rPr lang="en-US" cap="none" sz="1200" b="1" i="0" u="none" baseline="0"/>
            <a:t>34.5%</a:t>
          </a:r>
        </a:p>
      </cdr:txBody>
    </cdr:sp>
  </cdr:relSizeAnchor>
  <cdr:relSizeAnchor xmlns:cdr="http://schemas.openxmlformats.org/drawingml/2006/chartDrawing">
    <cdr:from>
      <cdr:x>0.42225</cdr:x>
      <cdr:y>0.4545</cdr:y>
    </cdr:from>
    <cdr:to>
      <cdr:x>0.59</cdr:x>
      <cdr:y>0.511</cdr:y>
    </cdr:to>
    <cdr:sp>
      <cdr:nvSpPr>
        <cdr:cNvPr id="14" name="TextBox 14"/>
        <cdr:cNvSpPr txBox="1">
          <a:spLocks noChangeArrowheads="1"/>
        </cdr:cNvSpPr>
      </cdr:nvSpPr>
      <cdr:spPr>
        <a:xfrm>
          <a:off x="3657600" y="2695575"/>
          <a:ext cx="1457325" cy="333375"/>
        </a:xfrm>
        <a:prstGeom prst="rect">
          <a:avLst/>
        </a:prstGeom>
        <a:noFill/>
        <a:ln w="9525" cmpd="sng">
          <a:noFill/>
        </a:ln>
      </cdr:spPr>
      <cdr:txBody>
        <a:bodyPr vertOverflow="clip" wrap="square"/>
        <a:p>
          <a:pPr algn="r">
            <a:defRPr/>
          </a:pPr>
          <a:r>
            <a:rPr lang="en-US" cap="none" sz="1800" b="1" i="0" u="none" baseline="0"/>
            <a:t>The "Cliff"
</a:t>
          </a:r>
        </a:p>
      </cdr:txBody>
    </cdr:sp>
  </cdr:relSizeAnchor>
  <cdr:relSizeAnchor xmlns:cdr="http://schemas.openxmlformats.org/drawingml/2006/chartDrawing">
    <cdr:from>
      <cdr:x>0.48425</cdr:x>
      <cdr:y>0.501</cdr:y>
    </cdr:from>
    <cdr:to>
      <cdr:x>0.5965</cdr:x>
      <cdr:y>0.59425</cdr:y>
    </cdr:to>
    <cdr:sp>
      <cdr:nvSpPr>
        <cdr:cNvPr id="15" name="Line 15"/>
        <cdr:cNvSpPr>
          <a:spLocks/>
        </cdr:cNvSpPr>
      </cdr:nvSpPr>
      <cdr:spPr>
        <a:xfrm flipV="1">
          <a:off x="4200525" y="2971800"/>
          <a:ext cx="971550" cy="552450"/>
        </a:xfrm>
        <a:prstGeom prst="line">
          <a:avLst/>
        </a:prstGeom>
        <a:noFill/>
        <a:ln w="57150"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0.20975</cdr:x>
      <cdr:y>0.16675</cdr:y>
    </cdr:from>
    <cdr:to>
      <cdr:x>0.20975</cdr:x>
      <cdr:y>0.83175</cdr:y>
    </cdr:to>
    <cdr:sp>
      <cdr:nvSpPr>
        <cdr:cNvPr id="1" name="Line 1"/>
        <cdr:cNvSpPr>
          <a:spLocks/>
        </cdr:cNvSpPr>
      </cdr:nvSpPr>
      <cdr:spPr>
        <a:xfrm flipH="1" flipV="1">
          <a:off x="1819275" y="981075"/>
          <a:ext cx="0"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0.33725</cdr:x>
      <cdr:y>0.16675</cdr:y>
    </cdr:from>
    <cdr:to>
      <cdr:x>0.33725</cdr:x>
      <cdr:y>0.83175</cdr:y>
    </cdr:to>
    <cdr:sp>
      <cdr:nvSpPr>
        <cdr:cNvPr id="2" name="Line 2"/>
        <cdr:cNvSpPr>
          <a:spLocks/>
        </cdr:cNvSpPr>
      </cdr:nvSpPr>
      <cdr:spPr>
        <a:xfrm flipV="1">
          <a:off x="2924175" y="981075"/>
          <a:ext cx="0"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0.46875</cdr:x>
      <cdr:y>0.16675</cdr:y>
    </cdr:from>
    <cdr:to>
      <cdr:x>0.46875</cdr:x>
      <cdr:y>0.83175</cdr:y>
    </cdr:to>
    <cdr:sp>
      <cdr:nvSpPr>
        <cdr:cNvPr id="3" name="Line 3"/>
        <cdr:cNvSpPr>
          <a:spLocks/>
        </cdr:cNvSpPr>
      </cdr:nvSpPr>
      <cdr:spPr>
        <a:xfrm flipV="1">
          <a:off x="4067175" y="981075"/>
          <a:ext cx="0"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0.5965</cdr:x>
      <cdr:y>0.16675</cdr:y>
    </cdr:from>
    <cdr:to>
      <cdr:x>0.59725</cdr:x>
      <cdr:y>0.83175</cdr:y>
    </cdr:to>
    <cdr:sp>
      <cdr:nvSpPr>
        <cdr:cNvPr id="4" name="Line 4"/>
        <cdr:cNvSpPr>
          <a:spLocks/>
        </cdr:cNvSpPr>
      </cdr:nvSpPr>
      <cdr:spPr>
        <a:xfrm flipH="1" flipV="1">
          <a:off x="5172075" y="981075"/>
          <a:ext cx="9525"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0.72875</cdr:x>
      <cdr:y>0.16675</cdr:y>
    </cdr:from>
    <cdr:to>
      <cdr:x>0.72875</cdr:x>
      <cdr:y>0.83075</cdr:y>
    </cdr:to>
    <cdr:sp>
      <cdr:nvSpPr>
        <cdr:cNvPr id="5" name="Line 5"/>
        <cdr:cNvSpPr>
          <a:spLocks/>
        </cdr:cNvSpPr>
      </cdr:nvSpPr>
      <cdr:spPr>
        <a:xfrm flipH="1" flipV="1">
          <a:off x="6315075" y="981075"/>
          <a:ext cx="0"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0.85825</cdr:x>
      <cdr:y>0.16675</cdr:y>
    </cdr:from>
    <cdr:to>
      <cdr:x>0.85925</cdr:x>
      <cdr:y>0.83075</cdr:y>
    </cdr:to>
    <cdr:sp>
      <cdr:nvSpPr>
        <cdr:cNvPr id="6" name="Line 6"/>
        <cdr:cNvSpPr>
          <a:spLocks/>
        </cdr:cNvSpPr>
      </cdr:nvSpPr>
      <cdr:spPr>
        <a:xfrm flipV="1">
          <a:off x="7439025" y="981075"/>
          <a:ext cx="9525" cy="39433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0.11475</cdr:x>
      <cdr:y>0.34025</cdr:y>
    </cdr:from>
    <cdr:to>
      <cdr:x>0.17125</cdr:x>
      <cdr:y>0.3755</cdr:y>
    </cdr:to>
    <cdr:sp>
      <cdr:nvSpPr>
        <cdr:cNvPr id="7" name="TextBox 7"/>
        <cdr:cNvSpPr txBox="1">
          <a:spLocks noChangeArrowheads="1"/>
        </cdr:cNvSpPr>
      </cdr:nvSpPr>
      <cdr:spPr>
        <a:xfrm>
          <a:off x="990600" y="2009775"/>
          <a:ext cx="485775" cy="209550"/>
        </a:xfrm>
        <a:prstGeom prst="rect">
          <a:avLst/>
        </a:prstGeom>
        <a:noFill/>
        <a:ln w="9525" cmpd="sng">
          <a:noFill/>
        </a:ln>
      </cdr:spPr>
      <cdr:txBody>
        <a:bodyPr vertOverflow="clip" wrap="square"/>
        <a:p>
          <a:pPr algn="ctr">
            <a:defRPr/>
          </a:pPr>
          <a:r>
            <a:rPr lang="en-US" cap="none" sz="1200" b="1" i="0" u="none" baseline="0"/>
            <a:t>67.5%</a:t>
          </a:r>
        </a:p>
      </cdr:txBody>
    </cdr:sp>
  </cdr:relSizeAnchor>
  <cdr:relSizeAnchor xmlns:cdr="http://schemas.openxmlformats.org/drawingml/2006/chartDrawing">
    <cdr:from>
      <cdr:x>0.23975</cdr:x>
      <cdr:y>0.331</cdr:y>
    </cdr:from>
    <cdr:to>
      <cdr:x>0.30275</cdr:x>
      <cdr:y>0.36475</cdr:y>
    </cdr:to>
    <cdr:sp>
      <cdr:nvSpPr>
        <cdr:cNvPr id="8" name="TextBox 8"/>
        <cdr:cNvSpPr txBox="1">
          <a:spLocks noChangeArrowheads="1"/>
        </cdr:cNvSpPr>
      </cdr:nvSpPr>
      <cdr:spPr>
        <a:xfrm>
          <a:off x="2076450" y="1962150"/>
          <a:ext cx="542925" cy="200025"/>
        </a:xfrm>
        <a:prstGeom prst="rect">
          <a:avLst/>
        </a:prstGeom>
        <a:noFill/>
        <a:ln w="9525" cmpd="sng">
          <a:noFill/>
        </a:ln>
      </cdr:spPr>
      <cdr:txBody>
        <a:bodyPr vertOverflow="clip" wrap="square"/>
        <a:p>
          <a:pPr algn="ctr">
            <a:defRPr/>
          </a:pPr>
          <a:r>
            <a:rPr lang="en-US" cap="none" sz="1200" b="1" i="0" u="none" baseline="0"/>
            <a:t>67.7%</a:t>
          </a:r>
        </a:p>
      </cdr:txBody>
    </cdr:sp>
  </cdr:relSizeAnchor>
  <cdr:relSizeAnchor xmlns:cdr="http://schemas.openxmlformats.org/drawingml/2006/chartDrawing">
    <cdr:from>
      <cdr:x>0.38125</cdr:x>
      <cdr:y>0.41325</cdr:y>
    </cdr:from>
    <cdr:to>
      <cdr:x>0.44325</cdr:x>
      <cdr:y>0.448</cdr:y>
    </cdr:to>
    <cdr:sp>
      <cdr:nvSpPr>
        <cdr:cNvPr id="9" name="TextBox 9"/>
        <cdr:cNvSpPr txBox="1">
          <a:spLocks noChangeArrowheads="1"/>
        </cdr:cNvSpPr>
      </cdr:nvSpPr>
      <cdr:spPr>
        <a:xfrm>
          <a:off x="3305175" y="2447925"/>
          <a:ext cx="533400" cy="209550"/>
        </a:xfrm>
        <a:prstGeom prst="rect">
          <a:avLst/>
        </a:prstGeom>
        <a:noFill/>
        <a:ln w="9525" cmpd="sng">
          <a:noFill/>
        </a:ln>
      </cdr:spPr>
      <cdr:txBody>
        <a:bodyPr vertOverflow="clip" wrap="square"/>
        <a:p>
          <a:pPr algn="ctr">
            <a:defRPr/>
          </a:pPr>
          <a:r>
            <a:rPr lang="en-US" cap="none" sz="1200" b="1" i="0" u="none" baseline="0"/>
            <a:t>55.8%</a:t>
          </a:r>
        </a:p>
      </cdr:txBody>
    </cdr:sp>
  </cdr:relSizeAnchor>
  <cdr:relSizeAnchor xmlns:cdr="http://schemas.openxmlformats.org/drawingml/2006/chartDrawing">
    <cdr:from>
      <cdr:x>0.5025</cdr:x>
      <cdr:y>0.41</cdr:y>
    </cdr:from>
    <cdr:to>
      <cdr:x>0.5645</cdr:x>
      <cdr:y>0.4445</cdr:y>
    </cdr:to>
    <cdr:sp>
      <cdr:nvSpPr>
        <cdr:cNvPr id="10" name="TextBox 10"/>
        <cdr:cNvSpPr txBox="1">
          <a:spLocks noChangeArrowheads="1"/>
        </cdr:cNvSpPr>
      </cdr:nvSpPr>
      <cdr:spPr>
        <a:xfrm>
          <a:off x="4352925" y="2428875"/>
          <a:ext cx="533400" cy="200025"/>
        </a:xfrm>
        <a:prstGeom prst="rect">
          <a:avLst/>
        </a:prstGeom>
        <a:noFill/>
        <a:ln w="9525" cmpd="sng">
          <a:noFill/>
        </a:ln>
      </cdr:spPr>
      <cdr:txBody>
        <a:bodyPr vertOverflow="clip" wrap="square"/>
        <a:p>
          <a:pPr algn="ctr">
            <a:defRPr/>
          </a:pPr>
          <a:r>
            <a:rPr lang="en-US" cap="none" sz="1200" b="1" i="0" u="none" baseline="0"/>
            <a:t>56.7%</a:t>
          </a:r>
        </a:p>
      </cdr:txBody>
    </cdr:sp>
  </cdr:relSizeAnchor>
  <cdr:relSizeAnchor xmlns:cdr="http://schemas.openxmlformats.org/drawingml/2006/chartDrawing">
    <cdr:from>
      <cdr:x>0.633</cdr:x>
      <cdr:y>0.41325</cdr:y>
    </cdr:from>
    <cdr:to>
      <cdr:x>0.69675</cdr:x>
      <cdr:y>0.44525</cdr:y>
    </cdr:to>
    <cdr:sp>
      <cdr:nvSpPr>
        <cdr:cNvPr id="11" name="TextBox 11"/>
        <cdr:cNvSpPr txBox="1">
          <a:spLocks noChangeArrowheads="1"/>
        </cdr:cNvSpPr>
      </cdr:nvSpPr>
      <cdr:spPr>
        <a:xfrm>
          <a:off x="5486400" y="2447925"/>
          <a:ext cx="552450" cy="190500"/>
        </a:xfrm>
        <a:prstGeom prst="rect">
          <a:avLst/>
        </a:prstGeom>
        <a:noFill/>
        <a:ln w="9525" cmpd="sng">
          <a:noFill/>
        </a:ln>
      </cdr:spPr>
      <cdr:txBody>
        <a:bodyPr vertOverflow="clip" wrap="square"/>
        <a:p>
          <a:pPr algn="ctr">
            <a:defRPr/>
          </a:pPr>
          <a:r>
            <a:rPr lang="en-US" cap="none" sz="1200" b="1" i="0" u="none" baseline="0"/>
            <a:t>56.3%</a:t>
          </a:r>
        </a:p>
      </cdr:txBody>
    </cdr:sp>
  </cdr:relSizeAnchor>
  <cdr:relSizeAnchor xmlns:cdr="http://schemas.openxmlformats.org/drawingml/2006/chartDrawing">
    <cdr:from>
      <cdr:x>0.768</cdr:x>
      <cdr:y>0.47725</cdr:y>
    </cdr:from>
    <cdr:to>
      <cdr:x>0.83175</cdr:x>
      <cdr:y>0.509</cdr:y>
    </cdr:to>
    <cdr:sp>
      <cdr:nvSpPr>
        <cdr:cNvPr id="12" name="TextBox 12"/>
        <cdr:cNvSpPr txBox="1">
          <a:spLocks noChangeArrowheads="1"/>
        </cdr:cNvSpPr>
      </cdr:nvSpPr>
      <cdr:spPr>
        <a:xfrm>
          <a:off x="6657975" y="2828925"/>
          <a:ext cx="552450" cy="190500"/>
        </a:xfrm>
        <a:prstGeom prst="rect">
          <a:avLst/>
        </a:prstGeom>
        <a:noFill/>
        <a:ln w="9525" cmpd="sng">
          <a:noFill/>
        </a:ln>
      </cdr:spPr>
      <cdr:txBody>
        <a:bodyPr vertOverflow="clip" wrap="square"/>
        <a:p>
          <a:pPr algn="ctr">
            <a:defRPr/>
          </a:pPr>
          <a:r>
            <a:rPr lang="en-US" cap="none" sz="1200" b="1" i="0" u="none" baseline="0"/>
            <a:t>46.2%</a:t>
          </a:r>
        </a:p>
      </cdr:txBody>
    </cdr:sp>
  </cdr:relSizeAnchor>
  <cdr:relSizeAnchor xmlns:cdr="http://schemas.openxmlformats.org/drawingml/2006/chartDrawing">
    <cdr:from>
      <cdr:x>0.8975</cdr:x>
      <cdr:y>0.43525</cdr:y>
    </cdr:from>
    <cdr:to>
      <cdr:x>0.96225</cdr:x>
      <cdr:y>0.4665</cdr:y>
    </cdr:to>
    <cdr:sp>
      <cdr:nvSpPr>
        <cdr:cNvPr id="13" name="TextBox 13"/>
        <cdr:cNvSpPr txBox="1">
          <a:spLocks noChangeArrowheads="1"/>
        </cdr:cNvSpPr>
      </cdr:nvSpPr>
      <cdr:spPr>
        <a:xfrm>
          <a:off x="7781925" y="2581275"/>
          <a:ext cx="561975" cy="180975"/>
        </a:xfrm>
        <a:prstGeom prst="rect">
          <a:avLst/>
        </a:prstGeom>
        <a:noFill/>
        <a:ln w="9525" cmpd="sng">
          <a:noFill/>
        </a:ln>
      </cdr:spPr>
      <cdr:txBody>
        <a:bodyPr vertOverflow="clip" wrap="square"/>
        <a:p>
          <a:pPr algn="ctr">
            <a:defRPr/>
          </a:pPr>
          <a:r>
            <a:rPr lang="en-US" cap="none" sz="1200" b="1" i="0" u="none" baseline="0"/>
            <a:t>53.6%</a:t>
          </a:r>
        </a:p>
      </cdr:txBody>
    </cdr:sp>
  </cdr:relSizeAnchor>
  <cdr:relSizeAnchor xmlns:cdr="http://schemas.openxmlformats.org/drawingml/2006/chartDrawing">
    <cdr:from>
      <cdr:x>0.09025</cdr:x>
      <cdr:y>0.37475</cdr:y>
    </cdr:from>
    <cdr:to>
      <cdr:x>0.33725</cdr:x>
      <cdr:y>0.43525</cdr:y>
    </cdr:to>
    <cdr:sp>
      <cdr:nvSpPr>
        <cdr:cNvPr id="14" name="TextBox 14"/>
        <cdr:cNvSpPr txBox="1">
          <a:spLocks noChangeArrowheads="1"/>
        </cdr:cNvSpPr>
      </cdr:nvSpPr>
      <cdr:spPr>
        <a:xfrm>
          <a:off x="781050" y="2219325"/>
          <a:ext cx="2143125" cy="361950"/>
        </a:xfrm>
        <a:prstGeom prst="rect">
          <a:avLst/>
        </a:prstGeom>
        <a:noFill/>
        <a:ln w="9525" cmpd="sng">
          <a:noFill/>
        </a:ln>
      </cdr:spPr>
      <cdr:txBody>
        <a:bodyPr vertOverflow="clip" wrap="square"/>
        <a:p>
          <a:pPr algn="ctr">
            <a:defRPr/>
          </a:pPr>
          <a:r>
            <a:rPr lang="en-US" cap="none" sz="1400" b="1" i="0" u="none" baseline="0">
              <a:latin typeface="Arial"/>
              <a:ea typeface="Arial"/>
              <a:cs typeface="Arial"/>
            </a:rPr>
            <a:t>The "Honeymoon"</a:t>
          </a:r>
          <a:r>
            <a:rPr lang="en-US" cap="none" sz="1800" b="1" i="0" u="none" baseline="0">
              <a:latin typeface="Arial"/>
              <a:ea typeface="Arial"/>
              <a:cs typeface="Arial"/>
            </a:rPr>
            <a:t>
</a:t>
          </a:r>
        </a:p>
      </cdr:txBody>
    </cdr:sp>
  </cdr:relSizeAnchor>
  <cdr:relSizeAnchor xmlns:cdr="http://schemas.openxmlformats.org/drawingml/2006/chartDrawing">
    <cdr:from>
      <cdr:x>0.6905</cdr:x>
      <cdr:y>0.4865</cdr:y>
    </cdr:from>
    <cdr:to>
      <cdr:x>0.72875</cdr:x>
      <cdr:y>0.53975</cdr:y>
    </cdr:to>
    <cdr:sp>
      <cdr:nvSpPr>
        <cdr:cNvPr id="15" name="Line 15"/>
        <cdr:cNvSpPr>
          <a:spLocks/>
        </cdr:cNvSpPr>
      </cdr:nvSpPr>
      <cdr:spPr>
        <a:xfrm flipV="1">
          <a:off x="5991225" y="2886075"/>
          <a:ext cx="333375" cy="314325"/>
        </a:xfrm>
        <a:prstGeom prst="line">
          <a:avLst/>
        </a:prstGeom>
        <a:noFill/>
        <a:ln w="57150"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0.5965</cdr:x>
      <cdr:y>0.47725</cdr:y>
    </cdr:from>
    <cdr:to>
      <cdr:x>0.7005</cdr:x>
      <cdr:y>0.5755</cdr:y>
    </cdr:to>
    <cdr:sp>
      <cdr:nvSpPr>
        <cdr:cNvPr id="16" name="TextBox 16"/>
        <cdr:cNvSpPr txBox="1">
          <a:spLocks noChangeArrowheads="1"/>
        </cdr:cNvSpPr>
      </cdr:nvSpPr>
      <cdr:spPr>
        <a:xfrm>
          <a:off x="5172075" y="2828925"/>
          <a:ext cx="904875" cy="581025"/>
        </a:xfrm>
        <a:prstGeom prst="rect">
          <a:avLst/>
        </a:prstGeom>
        <a:noFill/>
        <a:ln w="9525" cmpd="sng">
          <a:noFill/>
        </a:ln>
      </cdr:spPr>
      <cdr:txBody>
        <a:bodyPr vertOverflow="clip" wrap="square"/>
        <a:p>
          <a:pPr algn="ctr">
            <a:defRPr/>
          </a:pPr>
          <a:r>
            <a:rPr lang="en-US" cap="none" sz="1400" b="1" i="0" u="none" baseline="0"/>
            <a:t>Mental Fatigue</a:t>
          </a:r>
        </a:p>
      </cdr:txBody>
    </cdr:sp>
  </cdr:relSizeAnchor>
  <cdr:relSizeAnchor xmlns:cdr="http://schemas.openxmlformats.org/drawingml/2006/chartDrawing">
    <cdr:from>
      <cdr:x>0.8975</cdr:x>
      <cdr:y>0.4865</cdr:y>
    </cdr:from>
    <cdr:to>
      <cdr:x>0.987</cdr:x>
      <cdr:y>0.6055</cdr:y>
    </cdr:to>
    <cdr:sp>
      <cdr:nvSpPr>
        <cdr:cNvPr id="17" name="TextBox 17"/>
        <cdr:cNvSpPr txBox="1">
          <a:spLocks noChangeArrowheads="1"/>
        </cdr:cNvSpPr>
      </cdr:nvSpPr>
      <cdr:spPr>
        <a:xfrm>
          <a:off x="7781925" y="2886075"/>
          <a:ext cx="781050" cy="704850"/>
        </a:xfrm>
        <a:prstGeom prst="rect">
          <a:avLst/>
        </a:prstGeom>
        <a:noFill/>
        <a:ln w="9525" cmpd="sng">
          <a:noFill/>
        </a:ln>
      </cdr:spPr>
      <cdr:txBody>
        <a:bodyPr vertOverflow="clip" wrap="square"/>
        <a:p>
          <a:pPr algn="ctr">
            <a:defRPr/>
          </a:pPr>
          <a:r>
            <a:rPr lang="en-US" cap="none" sz="1400" b="1" i="0" u="none" baseline="0">
              <a:latin typeface="Arial"/>
              <a:ea typeface="Arial"/>
              <a:cs typeface="Arial"/>
            </a:rPr>
            <a:t>2</a:t>
          </a:r>
          <a:r>
            <a:rPr lang="en-US" cap="none" sz="1400" b="1" i="0" u="none" baseline="30000">
              <a:latin typeface="Arial"/>
              <a:ea typeface="Arial"/>
              <a:cs typeface="Arial"/>
            </a:rPr>
            <a:t>nd</a:t>
          </a:r>
          <a:r>
            <a:rPr lang="en-US" cap="none" sz="1400" b="1" i="0" u="none" baseline="0">
              <a:latin typeface="Arial"/>
              <a:ea typeface="Arial"/>
              <a:cs typeface="Arial"/>
            </a:rPr>
            <a:t> 
Effort</a:t>
          </a:r>
        </a:p>
      </cdr:txBody>
    </cdr:sp>
  </cdr:relSizeAnchor>
  <cdr:relSizeAnchor xmlns:cdr="http://schemas.openxmlformats.org/drawingml/2006/chartDrawing">
    <cdr:from>
      <cdr:x>0.87</cdr:x>
      <cdr:y>0.4865</cdr:y>
    </cdr:from>
    <cdr:to>
      <cdr:x>0.913</cdr:x>
      <cdr:y>0.53975</cdr:y>
    </cdr:to>
    <cdr:sp>
      <cdr:nvSpPr>
        <cdr:cNvPr id="18" name="Line 18"/>
        <cdr:cNvSpPr>
          <a:spLocks/>
        </cdr:cNvSpPr>
      </cdr:nvSpPr>
      <cdr:spPr>
        <a:xfrm flipH="1" flipV="1">
          <a:off x="7543800" y="2886075"/>
          <a:ext cx="371475" cy="314325"/>
        </a:xfrm>
        <a:prstGeom prst="line">
          <a:avLst/>
        </a:prstGeom>
        <a:noFill/>
        <a:ln w="57150"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0.37375</cdr:x>
      <cdr:y>0.4665</cdr:y>
    </cdr:from>
    <cdr:to>
      <cdr:x>0.60375</cdr:x>
      <cdr:y>0.5085</cdr:y>
    </cdr:to>
    <cdr:sp>
      <cdr:nvSpPr>
        <cdr:cNvPr id="19" name="TextBox 19"/>
        <cdr:cNvSpPr txBox="1">
          <a:spLocks noChangeArrowheads="1"/>
        </cdr:cNvSpPr>
      </cdr:nvSpPr>
      <cdr:spPr>
        <a:xfrm>
          <a:off x="3238500" y="2762250"/>
          <a:ext cx="2000250" cy="247650"/>
        </a:xfrm>
        <a:prstGeom prst="rect">
          <a:avLst/>
        </a:prstGeom>
        <a:noFill/>
        <a:ln w="9525" cmpd="sng">
          <a:noFill/>
        </a:ln>
      </cdr:spPr>
      <cdr:txBody>
        <a:bodyPr vertOverflow="clip" wrap="square"/>
        <a:p>
          <a:pPr algn="ctr">
            <a:defRPr/>
          </a:pPr>
          <a:r>
            <a:rPr lang="en-US" cap="none" sz="1400" b="1" i="0" u="none" baseline="0"/>
            <a:t>The "Plateau"</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0.20975</cdr:x>
      <cdr:y>0.271</cdr:y>
    </cdr:from>
    <cdr:to>
      <cdr:x>0.20975</cdr:x>
      <cdr:y>0.83175</cdr:y>
    </cdr:to>
    <cdr:sp>
      <cdr:nvSpPr>
        <cdr:cNvPr id="1" name="Line 1"/>
        <cdr:cNvSpPr>
          <a:spLocks/>
        </cdr:cNvSpPr>
      </cdr:nvSpPr>
      <cdr:spPr>
        <a:xfrm flipH="1" flipV="1">
          <a:off x="1819275" y="1600200"/>
          <a:ext cx="0" cy="33242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0.33725</cdr:x>
      <cdr:y>0.271</cdr:y>
    </cdr:from>
    <cdr:to>
      <cdr:x>0.33725</cdr:x>
      <cdr:y>0.83175</cdr:y>
    </cdr:to>
    <cdr:sp>
      <cdr:nvSpPr>
        <cdr:cNvPr id="2" name="Line 2"/>
        <cdr:cNvSpPr>
          <a:spLocks/>
        </cdr:cNvSpPr>
      </cdr:nvSpPr>
      <cdr:spPr>
        <a:xfrm flipV="1">
          <a:off x="2924175" y="1600200"/>
          <a:ext cx="0" cy="33242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0.46875</cdr:x>
      <cdr:y>0.271</cdr:y>
    </cdr:from>
    <cdr:to>
      <cdr:x>0.46875</cdr:x>
      <cdr:y>0.83175</cdr:y>
    </cdr:to>
    <cdr:sp>
      <cdr:nvSpPr>
        <cdr:cNvPr id="3" name="Line 3"/>
        <cdr:cNvSpPr>
          <a:spLocks/>
        </cdr:cNvSpPr>
      </cdr:nvSpPr>
      <cdr:spPr>
        <a:xfrm flipV="1">
          <a:off x="4067175" y="1600200"/>
          <a:ext cx="0" cy="33242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0.5965</cdr:x>
      <cdr:y>0.271</cdr:y>
    </cdr:from>
    <cdr:to>
      <cdr:x>0.59725</cdr:x>
      <cdr:y>0.83175</cdr:y>
    </cdr:to>
    <cdr:sp>
      <cdr:nvSpPr>
        <cdr:cNvPr id="4" name="Line 4"/>
        <cdr:cNvSpPr>
          <a:spLocks/>
        </cdr:cNvSpPr>
      </cdr:nvSpPr>
      <cdr:spPr>
        <a:xfrm flipH="1" flipV="1">
          <a:off x="5172075" y="1600200"/>
          <a:ext cx="9525" cy="33242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0.72875</cdr:x>
      <cdr:y>0.271</cdr:y>
    </cdr:from>
    <cdr:to>
      <cdr:x>0.72875</cdr:x>
      <cdr:y>0.831</cdr:y>
    </cdr:to>
    <cdr:sp>
      <cdr:nvSpPr>
        <cdr:cNvPr id="5" name="Line 5"/>
        <cdr:cNvSpPr>
          <a:spLocks/>
        </cdr:cNvSpPr>
      </cdr:nvSpPr>
      <cdr:spPr>
        <a:xfrm flipH="1" flipV="1">
          <a:off x="6315075" y="1600200"/>
          <a:ext cx="0" cy="33242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0.85825</cdr:x>
      <cdr:y>0.271</cdr:y>
    </cdr:from>
    <cdr:to>
      <cdr:x>0.85925</cdr:x>
      <cdr:y>0.831</cdr:y>
    </cdr:to>
    <cdr:sp>
      <cdr:nvSpPr>
        <cdr:cNvPr id="6" name="Line 6"/>
        <cdr:cNvSpPr>
          <a:spLocks/>
        </cdr:cNvSpPr>
      </cdr:nvSpPr>
      <cdr:spPr>
        <a:xfrm flipV="1">
          <a:off x="7439025" y="1600200"/>
          <a:ext cx="9525" cy="33242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Geneva"/>
              <a:ea typeface="Geneva"/>
              <a:cs typeface="Geneva"/>
            </a:rPr>
            <a:t/>
          </a:r>
        </a:p>
      </cdr:txBody>
    </cdr:sp>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0.83825</cdr:x>
      <cdr:y>0.552</cdr:y>
    </cdr:from>
    <cdr:to>
      <cdr:x>0.99325</cdr:x>
      <cdr:y>0.6395</cdr:y>
    </cdr:to>
    <cdr:sp>
      <cdr:nvSpPr>
        <cdr:cNvPr id="1" name="TextBox 1"/>
        <cdr:cNvSpPr txBox="1">
          <a:spLocks noChangeArrowheads="1"/>
        </cdr:cNvSpPr>
      </cdr:nvSpPr>
      <cdr:spPr>
        <a:xfrm flipV="1">
          <a:off x="7267575" y="3400425"/>
          <a:ext cx="1343025" cy="542925"/>
        </a:xfrm>
        <a:prstGeom prst="rect">
          <a:avLst/>
        </a:prstGeom>
        <a:noFill/>
        <a:ln w="9525" cmpd="sng">
          <a:noFill/>
        </a:ln>
      </cdr:spPr>
      <cdr:txBody>
        <a:bodyPr vertOverflow="clip" wrap="square"/>
        <a:p>
          <a:pPr algn="l">
            <a:defRPr/>
          </a:pPr>
          <a:r>
            <a:rPr lang="en-US" cap="none" sz="1000" b="1" i="0" u="none" baseline="0"/>
            <a:t>In reality, negative M/C scores are rounded off to 0.</a:t>
          </a:r>
        </a:p>
      </cdr:txBody>
    </cdr:sp>
  </cdr:relSizeAnchor>
  <cdr:relSizeAnchor xmlns:cdr="http://schemas.openxmlformats.org/drawingml/2006/chartDrawing">
    <cdr:from>
      <cdr:x>0.21025</cdr:x>
      <cdr:y>0.4525</cdr:y>
    </cdr:from>
    <cdr:to>
      <cdr:x>0.596</cdr:x>
      <cdr:y>0.48725</cdr:y>
    </cdr:to>
    <cdr:sp>
      <cdr:nvSpPr>
        <cdr:cNvPr id="2" name="TextBox 2"/>
        <cdr:cNvSpPr txBox="1">
          <a:spLocks noChangeArrowheads="1"/>
        </cdr:cNvSpPr>
      </cdr:nvSpPr>
      <cdr:spPr>
        <a:xfrm>
          <a:off x="1819275" y="2781300"/>
          <a:ext cx="3343275" cy="209550"/>
        </a:xfrm>
        <a:prstGeom prst="rect">
          <a:avLst/>
        </a:prstGeom>
        <a:noFill/>
        <a:ln w="1" cmpd="sng">
          <a:noFill/>
        </a:ln>
      </cdr:spPr>
      <cdr:txBody>
        <a:bodyPr vertOverflow="clip" wrap="square" anchor="ctr"/>
        <a:p>
          <a:pPr algn="ctr">
            <a:defRPr/>
          </a:pPr>
          <a:r>
            <a:rPr lang="en-US" cap="none" sz="1000" b="1" i="0" u="none" baseline="0"/>
            <a:t>But I can only narrow it down to 2 or 3 choices!</a:t>
          </a:r>
        </a:p>
      </cdr:txBody>
    </cdr:sp>
  </cdr:relSizeAnchor>
  <cdr:relSizeAnchor xmlns:cdr="http://schemas.openxmlformats.org/drawingml/2006/chartDrawing">
    <cdr:from>
      <cdr:x>0.28025</cdr:x>
      <cdr:y>0.48725</cdr:y>
    </cdr:from>
    <cdr:to>
      <cdr:x>0.45075</cdr:x>
      <cdr:y>0.5355</cdr:y>
    </cdr:to>
    <cdr:sp>
      <cdr:nvSpPr>
        <cdr:cNvPr id="3" name="Line 3"/>
        <cdr:cNvSpPr>
          <a:spLocks/>
        </cdr:cNvSpPr>
      </cdr:nvSpPr>
      <cdr:spPr>
        <a:xfrm flipH="1">
          <a:off x="2428875" y="3000375"/>
          <a:ext cx="147637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0.39475</cdr:x>
      <cdr:y>0.48725</cdr:y>
    </cdr:from>
    <cdr:to>
      <cdr:x>0.49725</cdr:x>
      <cdr:y>0.61325</cdr:y>
    </cdr:to>
    <cdr:sp>
      <cdr:nvSpPr>
        <cdr:cNvPr id="4" name="Line 4"/>
        <cdr:cNvSpPr>
          <a:spLocks/>
        </cdr:cNvSpPr>
      </cdr:nvSpPr>
      <cdr:spPr>
        <a:xfrm flipH="1">
          <a:off x="3419475" y="3000375"/>
          <a:ext cx="885825" cy="781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162675"/>
    <xdr:graphicFrame>
      <xdr:nvGraphicFramePr>
        <xdr:cNvPr id="1" name="Shape 1025"/>
        <xdr:cNvGraphicFramePr/>
      </xdr:nvGraphicFramePr>
      <xdr:xfrm>
        <a:off x="0" y="0"/>
        <a:ext cx="8677275" cy="6162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cdr:x>
      <cdr:y>0.87475</cdr:y>
    </cdr:from>
    <cdr:to>
      <cdr:x>0.3395</cdr:x>
      <cdr:y>0.9455</cdr:y>
    </cdr:to>
    <cdr:sp>
      <cdr:nvSpPr>
        <cdr:cNvPr id="1" name="TextBox 1"/>
        <cdr:cNvSpPr txBox="1">
          <a:spLocks noChangeArrowheads="1"/>
        </cdr:cNvSpPr>
      </cdr:nvSpPr>
      <cdr:spPr>
        <a:xfrm>
          <a:off x="571500" y="5181600"/>
          <a:ext cx="2371725" cy="419100"/>
        </a:xfrm>
        <a:prstGeom prst="rect">
          <a:avLst/>
        </a:prstGeom>
        <a:noFill/>
        <a:ln w="9525" cmpd="sng">
          <a:noFill/>
        </a:ln>
      </cdr:spPr>
      <cdr:txBody>
        <a:bodyPr vertOverflow="clip" wrap="square"/>
        <a:p>
          <a:pPr algn="ctr">
            <a:defRPr/>
          </a:pPr>
          <a:r>
            <a:rPr lang="en-US" cap="none" sz="1200" b="1" i="0" u="none" baseline="0"/>
            <a:t>Took AP Course and Passed AP Exam in High School</a:t>
          </a:r>
        </a:p>
      </cdr:txBody>
    </cdr:sp>
  </cdr:relSizeAnchor>
  <cdr:relSizeAnchor xmlns:cdr="http://schemas.openxmlformats.org/drawingml/2006/chartDrawing">
    <cdr:from>
      <cdr:x>0.3745</cdr:x>
      <cdr:y>0.87475</cdr:y>
    </cdr:from>
    <cdr:to>
      <cdr:x>0.6555</cdr:x>
      <cdr:y>0.95275</cdr:y>
    </cdr:to>
    <cdr:sp>
      <cdr:nvSpPr>
        <cdr:cNvPr id="2" name="TextBox 2"/>
        <cdr:cNvSpPr txBox="1">
          <a:spLocks noChangeArrowheads="1"/>
        </cdr:cNvSpPr>
      </cdr:nvSpPr>
      <cdr:spPr>
        <a:xfrm>
          <a:off x="3248025" y="5181600"/>
          <a:ext cx="2438400" cy="466725"/>
        </a:xfrm>
        <a:prstGeom prst="rect">
          <a:avLst/>
        </a:prstGeom>
        <a:noFill/>
        <a:ln w="9525" cmpd="sng">
          <a:noFill/>
        </a:ln>
      </cdr:spPr>
      <cdr:txBody>
        <a:bodyPr vertOverflow="clip" wrap="square"/>
        <a:p>
          <a:pPr algn="ctr">
            <a:defRPr/>
          </a:pPr>
          <a:r>
            <a:rPr lang="en-US" cap="none" sz="1200" b="1" i="0" u="none" baseline="0"/>
            <a:t>Took AP Course but did not
Pass AP Exam in High School</a:t>
          </a:r>
        </a:p>
      </cdr:txBody>
    </cdr:sp>
  </cdr:relSizeAnchor>
  <cdr:relSizeAnchor xmlns:cdr="http://schemas.openxmlformats.org/drawingml/2006/chartDrawing">
    <cdr:from>
      <cdr:x>0.715</cdr:x>
      <cdr:y>0.87475</cdr:y>
    </cdr:from>
    <cdr:to>
      <cdr:x>0.93575</cdr:x>
      <cdr:y>0.95275</cdr:y>
    </cdr:to>
    <cdr:sp>
      <cdr:nvSpPr>
        <cdr:cNvPr id="3" name="TextBox 3"/>
        <cdr:cNvSpPr txBox="1">
          <a:spLocks noChangeArrowheads="1"/>
        </cdr:cNvSpPr>
      </cdr:nvSpPr>
      <cdr:spPr>
        <a:xfrm>
          <a:off x="6200775" y="5181600"/>
          <a:ext cx="1914525" cy="466725"/>
        </a:xfrm>
        <a:prstGeom prst="rect">
          <a:avLst/>
        </a:prstGeom>
        <a:noFill/>
        <a:ln w="9525" cmpd="sng">
          <a:noFill/>
        </a:ln>
      </cdr:spPr>
      <cdr:txBody>
        <a:bodyPr vertOverflow="clip" wrap="square"/>
        <a:p>
          <a:pPr algn="ctr">
            <a:defRPr/>
          </a:pPr>
          <a:r>
            <a:rPr lang="en-US" cap="none" sz="1200" b="1" i="0" u="none" baseline="0"/>
            <a:t>Did not take AP Course in High School</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0.24025</cdr:y>
    </cdr:from>
    <cdr:to>
      <cdr:x>0.13425</cdr:x>
      <cdr:y>0.26675</cdr:y>
    </cdr:to>
    <cdr:sp>
      <cdr:nvSpPr>
        <cdr:cNvPr id="1" name="TextBox 1"/>
        <cdr:cNvSpPr txBox="1">
          <a:spLocks noChangeArrowheads="1"/>
        </cdr:cNvSpPr>
      </cdr:nvSpPr>
      <cdr:spPr>
        <a:xfrm>
          <a:off x="542925" y="1476375"/>
          <a:ext cx="619125" cy="161925"/>
        </a:xfrm>
        <a:prstGeom prst="rect">
          <a:avLst/>
        </a:prstGeom>
        <a:noFill/>
        <a:ln w="9525" cmpd="sng">
          <a:noFill/>
        </a:ln>
      </cdr:spPr>
      <cdr:txBody>
        <a:bodyPr vertOverflow="clip" wrap="square"/>
        <a:p>
          <a:pPr algn="ctr">
            <a:defRPr/>
          </a:pPr>
          <a:r>
            <a:rPr lang="en-US" cap="none" sz="1100" b="1" i="0" u="none" baseline="0"/>
            <a:t>10.72</a:t>
          </a:r>
        </a:p>
      </cdr:txBody>
    </cdr:sp>
  </cdr:relSizeAnchor>
  <cdr:relSizeAnchor xmlns:cdr="http://schemas.openxmlformats.org/drawingml/2006/chartDrawing">
    <cdr:from>
      <cdr:x>0.18525</cdr:x>
      <cdr:y>0.20975</cdr:y>
    </cdr:from>
    <cdr:to>
      <cdr:x>0.2505</cdr:x>
      <cdr:y>0.239</cdr:y>
    </cdr:to>
    <cdr:sp>
      <cdr:nvSpPr>
        <cdr:cNvPr id="2" name="TextBox 2"/>
        <cdr:cNvSpPr txBox="1">
          <a:spLocks noChangeArrowheads="1"/>
        </cdr:cNvSpPr>
      </cdr:nvSpPr>
      <cdr:spPr>
        <a:xfrm>
          <a:off x="1600200" y="1285875"/>
          <a:ext cx="561975" cy="180975"/>
        </a:xfrm>
        <a:prstGeom prst="rect">
          <a:avLst/>
        </a:prstGeom>
        <a:noFill/>
        <a:ln w="9525" cmpd="sng">
          <a:noFill/>
        </a:ln>
      </cdr:spPr>
      <cdr:txBody>
        <a:bodyPr vertOverflow="clip" wrap="square"/>
        <a:p>
          <a:pPr algn="ctr">
            <a:defRPr/>
          </a:pPr>
          <a:r>
            <a:rPr lang="en-US" cap="none" sz="1100" b="1" i="0" u="none" baseline="0"/>
            <a:t>11.16</a:t>
          </a:r>
        </a:p>
      </cdr:txBody>
    </cdr:sp>
  </cdr:relSizeAnchor>
  <cdr:relSizeAnchor xmlns:cdr="http://schemas.openxmlformats.org/drawingml/2006/chartDrawing">
    <cdr:from>
      <cdr:x>0.308</cdr:x>
      <cdr:y>0.34425</cdr:y>
    </cdr:from>
    <cdr:to>
      <cdr:x>0.3715</cdr:x>
      <cdr:y>0.37225</cdr:y>
    </cdr:to>
    <cdr:sp>
      <cdr:nvSpPr>
        <cdr:cNvPr id="3" name="TextBox 3"/>
        <cdr:cNvSpPr txBox="1">
          <a:spLocks noChangeArrowheads="1"/>
        </cdr:cNvSpPr>
      </cdr:nvSpPr>
      <cdr:spPr>
        <a:xfrm>
          <a:off x="2667000" y="2114550"/>
          <a:ext cx="552450" cy="171450"/>
        </a:xfrm>
        <a:prstGeom prst="rect">
          <a:avLst/>
        </a:prstGeom>
        <a:noFill/>
        <a:ln w="9525" cmpd="sng">
          <a:noFill/>
        </a:ln>
      </cdr:spPr>
      <cdr:txBody>
        <a:bodyPr vertOverflow="clip" wrap="square"/>
        <a:p>
          <a:pPr algn="ctr">
            <a:defRPr/>
          </a:pPr>
          <a:r>
            <a:rPr lang="en-US" cap="none" sz="1100" b="1" i="0" u="none" baseline="0"/>
            <a:t>8.81</a:t>
          </a:r>
        </a:p>
      </cdr:txBody>
    </cdr:sp>
  </cdr:relSizeAnchor>
  <cdr:relSizeAnchor xmlns:cdr="http://schemas.openxmlformats.org/drawingml/2006/chartDrawing">
    <cdr:from>
      <cdr:x>0.42725</cdr:x>
      <cdr:y>0.2865</cdr:y>
    </cdr:from>
    <cdr:to>
      <cdr:x>0.48775</cdr:x>
      <cdr:y>0.315</cdr:y>
    </cdr:to>
    <cdr:sp>
      <cdr:nvSpPr>
        <cdr:cNvPr id="4" name="TextBox 4"/>
        <cdr:cNvSpPr txBox="1">
          <a:spLocks noChangeArrowheads="1"/>
        </cdr:cNvSpPr>
      </cdr:nvSpPr>
      <cdr:spPr>
        <a:xfrm>
          <a:off x="3705225" y="1762125"/>
          <a:ext cx="523875" cy="171450"/>
        </a:xfrm>
        <a:prstGeom prst="rect">
          <a:avLst/>
        </a:prstGeom>
        <a:noFill/>
        <a:ln w="9525" cmpd="sng">
          <a:noFill/>
        </a:ln>
      </cdr:spPr>
      <cdr:txBody>
        <a:bodyPr vertOverflow="clip" wrap="square"/>
        <a:p>
          <a:pPr algn="ctr">
            <a:defRPr/>
          </a:pPr>
          <a:r>
            <a:rPr lang="en-US" cap="none" sz="1100" b="1" i="0" u="none" baseline="0"/>
            <a:t>9.87</a:t>
          </a:r>
        </a:p>
      </cdr:txBody>
    </cdr:sp>
  </cdr:relSizeAnchor>
  <cdr:relSizeAnchor xmlns:cdr="http://schemas.openxmlformats.org/drawingml/2006/chartDrawing">
    <cdr:from>
      <cdr:x>0.54625</cdr:x>
      <cdr:y>0.34425</cdr:y>
    </cdr:from>
    <cdr:to>
      <cdr:x>0.60775</cdr:x>
      <cdr:y>0.37225</cdr:y>
    </cdr:to>
    <cdr:sp>
      <cdr:nvSpPr>
        <cdr:cNvPr id="5" name="TextBox 5"/>
        <cdr:cNvSpPr txBox="1">
          <a:spLocks noChangeArrowheads="1"/>
        </cdr:cNvSpPr>
      </cdr:nvSpPr>
      <cdr:spPr>
        <a:xfrm>
          <a:off x="4733925" y="2114550"/>
          <a:ext cx="533400" cy="171450"/>
        </a:xfrm>
        <a:prstGeom prst="rect">
          <a:avLst/>
        </a:prstGeom>
        <a:noFill/>
        <a:ln w="9525" cmpd="sng">
          <a:noFill/>
        </a:ln>
      </cdr:spPr>
      <cdr:txBody>
        <a:bodyPr vertOverflow="clip" wrap="square"/>
        <a:p>
          <a:pPr algn="ctr">
            <a:defRPr/>
          </a:pPr>
          <a:r>
            <a:rPr lang="en-US" cap="none" sz="1100" b="1" i="0" u="none" baseline="0"/>
            <a:t>8.89</a:t>
          </a:r>
        </a:p>
      </cdr:txBody>
    </cdr:sp>
  </cdr:relSizeAnchor>
  <cdr:relSizeAnchor xmlns:cdr="http://schemas.openxmlformats.org/drawingml/2006/chartDrawing">
    <cdr:from>
      <cdr:x>0.656</cdr:x>
      <cdr:y>0.4425</cdr:y>
    </cdr:from>
    <cdr:to>
      <cdr:x>0.72675</cdr:x>
      <cdr:y>0.4705</cdr:y>
    </cdr:to>
    <cdr:sp>
      <cdr:nvSpPr>
        <cdr:cNvPr id="6" name="TextBox 6"/>
        <cdr:cNvSpPr txBox="1">
          <a:spLocks noChangeArrowheads="1"/>
        </cdr:cNvSpPr>
      </cdr:nvSpPr>
      <cdr:spPr>
        <a:xfrm>
          <a:off x="5686425" y="2724150"/>
          <a:ext cx="609600" cy="171450"/>
        </a:xfrm>
        <a:prstGeom prst="rect">
          <a:avLst/>
        </a:prstGeom>
        <a:noFill/>
        <a:ln w="9525" cmpd="sng">
          <a:noFill/>
        </a:ln>
      </cdr:spPr>
      <cdr:txBody>
        <a:bodyPr vertOverflow="clip" wrap="square"/>
        <a:p>
          <a:pPr algn="ctr">
            <a:defRPr/>
          </a:pPr>
          <a:r>
            <a:rPr lang="en-US" cap="none" sz="1100" b="1" i="0" u="none" baseline="0"/>
            <a:t>7.28</a:t>
          </a:r>
        </a:p>
      </cdr:txBody>
    </cdr:sp>
  </cdr:relSizeAnchor>
  <cdr:relSizeAnchor xmlns:cdr="http://schemas.openxmlformats.org/drawingml/2006/chartDrawing">
    <cdr:from>
      <cdr:x>0.895</cdr:x>
      <cdr:y>0.34425</cdr:y>
    </cdr:from>
    <cdr:to>
      <cdr:x>0.964</cdr:x>
      <cdr:y>0.37275</cdr:y>
    </cdr:to>
    <cdr:sp>
      <cdr:nvSpPr>
        <cdr:cNvPr id="7" name="TextBox 7"/>
        <cdr:cNvSpPr txBox="1">
          <a:spLocks noChangeArrowheads="1"/>
        </cdr:cNvSpPr>
      </cdr:nvSpPr>
      <cdr:spPr>
        <a:xfrm>
          <a:off x="7762875" y="2114550"/>
          <a:ext cx="600075" cy="171450"/>
        </a:xfrm>
        <a:prstGeom prst="rect">
          <a:avLst/>
        </a:prstGeom>
        <a:noFill/>
        <a:ln w="9525" cmpd="sng">
          <a:noFill/>
        </a:ln>
      </cdr:spPr>
      <cdr:txBody>
        <a:bodyPr vertOverflow="clip" wrap="square"/>
        <a:p>
          <a:pPr algn="ctr">
            <a:defRPr/>
          </a:pPr>
          <a:r>
            <a:rPr lang="en-US" cap="none" sz="1100" b="1" i="0" u="none" baseline="0"/>
            <a:t>8.93</a:t>
          </a:r>
        </a:p>
      </cdr:txBody>
    </cdr:sp>
  </cdr:relSizeAnchor>
  <cdr:relSizeAnchor xmlns:cdr="http://schemas.openxmlformats.org/drawingml/2006/chartDrawing">
    <cdr:from>
      <cdr:x>0.78175</cdr:x>
      <cdr:y>0.51575</cdr:y>
    </cdr:from>
    <cdr:to>
      <cdr:x>0.83925</cdr:x>
      <cdr:y>0.5535</cdr:y>
    </cdr:to>
    <cdr:sp>
      <cdr:nvSpPr>
        <cdr:cNvPr id="8" name="TextBox 8"/>
        <cdr:cNvSpPr txBox="1">
          <a:spLocks noChangeArrowheads="1"/>
        </cdr:cNvSpPr>
      </cdr:nvSpPr>
      <cdr:spPr>
        <a:xfrm>
          <a:off x="6781800" y="3171825"/>
          <a:ext cx="495300" cy="228600"/>
        </a:xfrm>
        <a:prstGeom prst="rect">
          <a:avLst/>
        </a:prstGeom>
        <a:noFill/>
        <a:ln w="9525" cmpd="sng">
          <a:noFill/>
        </a:ln>
      </cdr:spPr>
      <cdr:txBody>
        <a:bodyPr vertOverflow="clip" wrap="square"/>
        <a:p>
          <a:pPr algn="ctr">
            <a:defRPr/>
          </a:pPr>
          <a:r>
            <a:rPr lang="en-US" cap="none" sz="1100" b="1" i="0" u="none" baseline="0">
              <a:latin typeface="Geneva"/>
              <a:ea typeface="Geneva"/>
              <a:cs typeface="Geneva"/>
            </a:rPr>
            <a:t>5.80</a:t>
          </a:r>
        </a:p>
      </cdr:txBody>
    </cdr:sp>
  </cdr:relSizeAnchor>
</c:userShapes>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162675"/>
    <xdr:graphicFrame>
      <xdr:nvGraphicFramePr>
        <xdr:cNvPr id="1" name="Shape 1025"/>
        <xdr:cNvGraphicFramePr/>
      </xdr:nvGraphicFramePr>
      <xdr:xfrm>
        <a:off x="0" y="0"/>
        <a:ext cx="8677275" cy="6162675"/>
      </xdr:xfrm>
      <a:graphic>
        <a:graphicData uri="http://schemas.openxmlformats.org/drawingml/2006/chart">
          <c:chart xmlns:c="http://schemas.openxmlformats.org/drawingml/2006/chart" r:id="rId1"/>
        </a:graphicData>
      </a:graphic>
    </xdr:graphicFrame>
    <xdr:clientData/>
  </xdr:absolute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677275"/>
      </xdr:xfrm>
      <a:graphic>
        <a:graphicData uri="http://schemas.openxmlformats.org/drawingml/2006/chart">
          <c:chart xmlns:c="http://schemas.openxmlformats.org/drawingml/2006/chart" r:id="rId1"/>
        </a:graphicData>
      </a:graphic>
    </xdr:graphicFrame>
    <xdr:clientData/>
  </xdr:absolute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677275"/>
      </xdr:xfrm>
      <a:graphic>
        <a:graphicData uri="http://schemas.openxmlformats.org/drawingml/2006/chart">
          <c:chart xmlns:c="http://schemas.openxmlformats.org/drawingml/2006/chart" r:id="rId1"/>
        </a:graphicData>
      </a:graphic>
    </xdr:graphicFrame>
    <xdr:clientData/>
  </xdr:absolute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0.82725</cdr:y>
    </cdr:from>
    <cdr:to>
      <cdr:x>0.34475</cdr:x>
      <cdr:y>0.8995</cdr:y>
    </cdr:to>
    <cdr:sp>
      <cdr:nvSpPr>
        <cdr:cNvPr id="1" name="TextBox 1"/>
        <cdr:cNvSpPr txBox="1">
          <a:spLocks noChangeArrowheads="1"/>
        </cdr:cNvSpPr>
      </cdr:nvSpPr>
      <cdr:spPr>
        <a:xfrm>
          <a:off x="542925" y="5286375"/>
          <a:ext cx="2438400" cy="457200"/>
        </a:xfrm>
        <a:prstGeom prst="rect">
          <a:avLst/>
        </a:prstGeom>
        <a:noFill/>
        <a:ln w="9525" cmpd="sng">
          <a:noFill/>
        </a:ln>
      </cdr:spPr>
      <cdr:txBody>
        <a:bodyPr vertOverflow="clip" wrap="square"/>
        <a:p>
          <a:pPr algn="ctr">
            <a:defRPr/>
          </a:pPr>
          <a:r>
            <a:rPr lang="en-US" cap="none" sz="1200" b="1" i="0" u="none" baseline="0"/>
            <a:t>Took AP Course and Passed
AP Exam in High School</a:t>
          </a:r>
        </a:p>
      </cdr:txBody>
    </cdr:sp>
  </cdr:relSizeAnchor>
  <cdr:relSizeAnchor xmlns:cdr="http://schemas.openxmlformats.org/drawingml/2006/chartDrawing">
    <cdr:from>
      <cdr:x>0.38125</cdr:x>
      <cdr:y>0.82725</cdr:y>
    </cdr:from>
    <cdr:to>
      <cdr:x>0.656</cdr:x>
      <cdr:y>0.8865</cdr:y>
    </cdr:to>
    <cdr:sp>
      <cdr:nvSpPr>
        <cdr:cNvPr id="2" name="TextBox 2"/>
        <cdr:cNvSpPr txBox="1">
          <a:spLocks noChangeArrowheads="1"/>
        </cdr:cNvSpPr>
      </cdr:nvSpPr>
      <cdr:spPr>
        <a:xfrm>
          <a:off x="3305175" y="5286375"/>
          <a:ext cx="2381250" cy="381000"/>
        </a:xfrm>
        <a:prstGeom prst="rect">
          <a:avLst/>
        </a:prstGeom>
        <a:noFill/>
        <a:ln w="9525" cmpd="sng">
          <a:noFill/>
        </a:ln>
      </cdr:spPr>
      <cdr:txBody>
        <a:bodyPr vertOverflow="clip" wrap="square"/>
        <a:p>
          <a:pPr algn="ctr">
            <a:defRPr/>
          </a:pPr>
          <a:r>
            <a:rPr lang="en-US" cap="none" sz="1200" b="1" i="0" u="none" baseline="0"/>
            <a:t>Took AP Course but did not Pass AP Exam in High School</a:t>
          </a:r>
        </a:p>
      </cdr:txBody>
    </cdr:sp>
  </cdr:relSizeAnchor>
  <cdr:relSizeAnchor xmlns:cdr="http://schemas.openxmlformats.org/drawingml/2006/chartDrawing">
    <cdr:from>
      <cdr:x>0.71225</cdr:x>
      <cdr:y>0.82725</cdr:y>
    </cdr:from>
    <cdr:to>
      <cdr:x>0.952</cdr:x>
      <cdr:y>0.8995</cdr:y>
    </cdr:to>
    <cdr:sp>
      <cdr:nvSpPr>
        <cdr:cNvPr id="3" name="TextBox 3"/>
        <cdr:cNvSpPr txBox="1">
          <a:spLocks noChangeArrowheads="1"/>
        </cdr:cNvSpPr>
      </cdr:nvSpPr>
      <cdr:spPr>
        <a:xfrm>
          <a:off x="6172200" y="5286375"/>
          <a:ext cx="2076450" cy="457200"/>
        </a:xfrm>
        <a:prstGeom prst="rect">
          <a:avLst/>
        </a:prstGeom>
        <a:noFill/>
        <a:ln w="9525" cmpd="sng">
          <a:noFill/>
        </a:ln>
      </cdr:spPr>
      <cdr:txBody>
        <a:bodyPr vertOverflow="clip" wrap="square"/>
        <a:p>
          <a:pPr algn="ctr">
            <a:defRPr/>
          </a:pPr>
          <a:r>
            <a:rPr lang="en-US" cap="none" sz="1200" b="1" i="0" u="none" baseline="0"/>
            <a:t>Did not take AP Course in High School</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WH%20MC%20%%20Cor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Correct"/>
      <sheetName val="Cumulative Average"/>
      <sheetName val="Cumulative Comparison"/>
      <sheetName val="The &quot;Cliff&quot;"/>
      <sheetName val="Previous 10"/>
      <sheetName val="5 Avg vs Cumulative"/>
      <sheetName val="Cumulative Comparison %"/>
      <sheetName val="MC Section DATA"/>
    </sheetNames>
    <sheetDataSet>
      <sheetData sheetId="7">
        <row r="5">
          <cell r="AJ5">
            <v>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just4kids.org/images/DoWhatWorksSample11-1-04.pdf" TargetMode="External" /><Relationship Id="rId2" Type="http://schemas.openxmlformats.org/officeDocument/2006/relationships/hyperlink" Target="http://www.washingtonpost.com/wp-dyn/articles/A6900-2004Nov23.html" TargetMode="External" /><Relationship Id="rId3" Type="http://schemas.openxmlformats.org/officeDocument/2006/relationships/hyperlink" Target="http://www.communitiesjust4kids.org/"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strickl@egrps.org" TargetMode="External" /><Relationship Id="rId2" Type="http://schemas.openxmlformats.org/officeDocument/2006/relationships/hyperlink" Target="http://www.egrps.org/~BStrickl/apwh.html" TargetMode="Externa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mailto:bstrickl@egrps.org"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bstrickl@egrps.org"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2"/>
  <cols>
    <col min="1" max="16384" width="9.125" style="32" customWidth="1"/>
  </cols>
  <sheetData>
    <row r="1" ht="18">
      <c r="A1" s="31" t="s">
        <v>156</v>
      </c>
    </row>
    <row r="3" ht="12.75">
      <c r="A3" s="32" t="s">
        <v>18</v>
      </c>
    </row>
    <row r="4" ht="12.75">
      <c r="A4" s="32" t="s">
        <v>19</v>
      </c>
    </row>
    <row r="5" ht="12.75">
      <c r="A5" s="32" t="s">
        <v>20</v>
      </c>
    </row>
    <row r="6" ht="12.75" customHeight="1">
      <c r="A6" s="32" t="s">
        <v>157</v>
      </c>
    </row>
    <row r="7" ht="12.75" customHeight="1"/>
    <row r="8" ht="12.75" customHeight="1">
      <c r="A8" s="33" t="s">
        <v>158</v>
      </c>
    </row>
    <row r="9" ht="12.75" customHeight="1">
      <c r="A9" s="34" t="s">
        <v>159</v>
      </c>
    </row>
    <row r="10" ht="12.75">
      <c r="A10" s="33" t="s">
        <v>160</v>
      </c>
    </row>
    <row r="12" ht="12.75">
      <c r="A12" s="32" t="s">
        <v>161</v>
      </c>
    </row>
    <row r="13" spans="2:9" ht="12.75">
      <c r="B13" s="32" t="s">
        <v>162</v>
      </c>
      <c r="C13" s="32" t="s">
        <v>163</v>
      </c>
      <c r="D13" s="32" t="s">
        <v>164</v>
      </c>
      <c r="E13" s="32" t="s">
        <v>165</v>
      </c>
      <c r="I13" s="32">
        <f>70/27</f>
        <v>2.5925925925925926</v>
      </c>
    </row>
    <row r="14" spans="1:5" ht="12.75">
      <c r="A14" s="32" t="s">
        <v>166</v>
      </c>
      <c r="B14" s="35">
        <v>47647</v>
      </c>
      <c r="C14" s="36">
        <v>0.57</v>
      </c>
      <c r="D14" s="36">
        <v>0.43</v>
      </c>
      <c r="E14" s="36">
        <v>0.22</v>
      </c>
    </row>
    <row r="15" spans="1:5" ht="12.75">
      <c r="A15" s="32" t="s">
        <v>167</v>
      </c>
      <c r="B15" s="35">
        <v>19868</v>
      </c>
      <c r="C15" s="36">
        <v>0.47</v>
      </c>
      <c r="D15" s="36">
        <v>0.26</v>
      </c>
      <c r="E15" s="36">
        <v>0.08</v>
      </c>
    </row>
    <row r="16" spans="1:5" ht="12.75">
      <c r="A16" s="32" t="s">
        <v>168</v>
      </c>
      <c r="B16" s="35">
        <v>7813</v>
      </c>
      <c r="C16" s="36">
        <v>0.42</v>
      </c>
      <c r="D16" s="36">
        <v>0.36</v>
      </c>
      <c r="E16" s="36">
        <v>0.11</v>
      </c>
    </row>
    <row r="17" spans="1:5" ht="12.75">
      <c r="A17" s="32" t="s">
        <v>169</v>
      </c>
      <c r="B17" s="35">
        <v>22028</v>
      </c>
      <c r="C17" s="36">
        <v>0.4</v>
      </c>
      <c r="D17" s="36">
        <v>0.24</v>
      </c>
      <c r="E17" s="36">
        <v>0.07</v>
      </c>
    </row>
    <row r="18" spans="1:5" ht="12.75">
      <c r="A18" s="32" t="s">
        <v>5</v>
      </c>
      <c r="B18" s="35">
        <v>78079</v>
      </c>
      <c r="C18" s="36">
        <v>0.57</v>
      </c>
      <c r="D18" s="36">
        <v>0.37</v>
      </c>
      <c r="E18" s="36">
        <v>0.17</v>
      </c>
    </row>
    <row r="20" ht="12.75">
      <c r="A20" s="32" t="s">
        <v>170</v>
      </c>
    </row>
    <row r="21" spans="2:5" ht="12.75">
      <c r="B21" s="32" t="s">
        <v>162</v>
      </c>
      <c r="C21" s="32" t="s">
        <v>171</v>
      </c>
      <c r="D21" s="32" t="s">
        <v>172</v>
      </c>
      <c r="E21" s="32" t="s">
        <v>173</v>
      </c>
    </row>
    <row r="22" spans="1:5" ht="12.75">
      <c r="A22" s="32" t="s">
        <v>166</v>
      </c>
      <c r="B22" s="35">
        <v>47647</v>
      </c>
      <c r="C22" s="36">
        <v>0.95</v>
      </c>
      <c r="D22" s="36">
        <v>0.79</v>
      </c>
      <c r="E22" s="36">
        <v>0.5</v>
      </c>
    </row>
    <row r="23" spans="1:5" ht="12.75">
      <c r="A23" s="32" t="s">
        <v>167</v>
      </c>
      <c r="B23" s="35">
        <v>19868</v>
      </c>
      <c r="C23" s="36">
        <v>0.89</v>
      </c>
      <c r="D23" s="36">
        <v>0.56</v>
      </c>
      <c r="E23" s="36">
        <v>0.25</v>
      </c>
    </row>
    <row r="24" spans="1:5" ht="12.75">
      <c r="A24" s="32" t="s">
        <v>168</v>
      </c>
      <c r="B24" s="35">
        <v>7813</v>
      </c>
      <c r="C24" s="36">
        <v>0.87</v>
      </c>
      <c r="D24" s="36">
        <v>0.5</v>
      </c>
      <c r="E24" s="36">
        <v>0.17</v>
      </c>
    </row>
    <row r="25" spans="1:5" ht="12.75">
      <c r="A25" s="32" t="s">
        <v>169</v>
      </c>
      <c r="B25" s="35">
        <v>22028</v>
      </c>
      <c r="C25" s="36">
        <v>0.84</v>
      </c>
      <c r="D25" s="36">
        <v>0.54</v>
      </c>
      <c r="E25" s="36">
        <v>0.2</v>
      </c>
    </row>
    <row r="26" spans="1:5" ht="12.75">
      <c r="A26" s="32" t="s">
        <v>5</v>
      </c>
      <c r="B26" s="35">
        <v>78079</v>
      </c>
      <c r="C26" s="36"/>
      <c r="D26" s="36"/>
      <c r="E26" s="36"/>
    </row>
    <row r="28" ht="12.75">
      <c r="A28" s="32" t="s">
        <v>174</v>
      </c>
    </row>
    <row r="29" spans="2:5" ht="12.75">
      <c r="B29" s="32" t="s">
        <v>162</v>
      </c>
      <c r="C29" s="32" t="s">
        <v>171</v>
      </c>
      <c r="D29" s="32" t="s">
        <v>172</v>
      </c>
      <c r="E29" s="32" t="s">
        <v>173</v>
      </c>
    </row>
    <row r="30" spans="1:5" ht="12.75">
      <c r="A30" s="32" t="s">
        <v>166</v>
      </c>
      <c r="B30" s="35">
        <v>37004</v>
      </c>
      <c r="C30" s="37">
        <v>3.11</v>
      </c>
      <c r="D30" s="37">
        <v>2.72</v>
      </c>
      <c r="E30" s="37">
        <v>2.35</v>
      </c>
    </row>
    <row r="31" spans="1:5" ht="12.75">
      <c r="A31" s="32" t="s">
        <v>167</v>
      </c>
      <c r="B31" s="35">
        <v>18019</v>
      </c>
      <c r="C31" s="37">
        <v>2.87</v>
      </c>
      <c r="D31" s="37">
        <v>2.42</v>
      </c>
      <c r="E31" s="37">
        <v>2.03</v>
      </c>
    </row>
    <row r="32" spans="1:5" ht="12.75">
      <c r="A32" s="32" t="s">
        <v>168</v>
      </c>
      <c r="B32" s="35">
        <v>7312</v>
      </c>
      <c r="C32" s="37">
        <v>2.81</v>
      </c>
      <c r="D32" s="37">
        <v>2.47</v>
      </c>
      <c r="E32" s="37">
        <v>1.93</v>
      </c>
    </row>
    <row r="33" spans="1:5" ht="12.75">
      <c r="A33" s="32" t="s">
        <v>169</v>
      </c>
      <c r="B33" s="35">
        <v>15167</v>
      </c>
      <c r="C33" s="37">
        <v>2.95</v>
      </c>
      <c r="D33" s="37">
        <v>2.45</v>
      </c>
      <c r="E33" s="37">
        <v>2.01</v>
      </c>
    </row>
    <row r="34" spans="1:5" ht="12.75">
      <c r="A34" s="32" t="s">
        <v>5</v>
      </c>
      <c r="B34" s="35">
        <v>67863</v>
      </c>
      <c r="C34" s="37"/>
      <c r="D34" s="37"/>
      <c r="E34" s="37"/>
    </row>
    <row r="37" ht="12.75">
      <c r="A37" s="32" t="s">
        <v>175</v>
      </c>
    </row>
    <row r="38" ht="12.75">
      <c r="A38" s="32" t="s">
        <v>176</v>
      </c>
    </row>
    <row r="40" spans="1:4" ht="12.75">
      <c r="A40" s="32" t="s">
        <v>177</v>
      </c>
      <c r="B40" s="32" t="s">
        <v>178</v>
      </c>
      <c r="C40" s="32" t="s">
        <v>179</v>
      </c>
      <c r="D40" s="32" t="s">
        <v>180</v>
      </c>
    </row>
    <row r="41" spans="1:4" ht="12.75">
      <c r="A41" s="32" t="s">
        <v>168</v>
      </c>
      <c r="B41" s="36">
        <v>0.28</v>
      </c>
      <c r="C41" s="36">
        <v>0.22</v>
      </c>
      <c r="D41" s="36">
        <v>0.16</v>
      </c>
    </row>
    <row r="42" spans="1:4" ht="12.75">
      <c r="A42" s="32" t="s">
        <v>167</v>
      </c>
      <c r="B42" s="36">
        <v>0.28</v>
      </c>
      <c r="C42" s="36">
        <v>0.12</v>
      </c>
      <c r="D42" s="36">
        <v>0.1</v>
      </c>
    </row>
    <row r="43" spans="1:4" ht="12.75">
      <c r="A43" s="32" t="s">
        <v>181</v>
      </c>
      <c r="B43" s="36">
        <v>0.33</v>
      </c>
      <c r="C43" s="36">
        <v>0.22</v>
      </c>
      <c r="D43" s="36">
        <v>0.2</v>
      </c>
    </row>
    <row r="44" spans="1:4" ht="12.75">
      <c r="A44" s="32" t="s">
        <v>169</v>
      </c>
      <c r="B44" s="36">
        <v>0.26</v>
      </c>
      <c r="C44" s="36">
        <v>0.17</v>
      </c>
      <c r="D44" s="36">
        <v>0.12</v>
      </c>
    </row>
    <row r="45" spans="1:4" ht="12.75">
      <c r="A45" s="32" t="s">
        <v>182</v>
      </c>
      <c r="B45" s="36">
        <v>0.34</v>
      </c>
      <c r="C45" s="36">
        <v>0.23</v>
      </c>
      <c r="D45" s="36">
        <v>0.19</v>
      </c>
    </row>
    <row r="47" ht="12.75">
      <c r="A47" s="32" t="s">
        <v>183</v>
      </c>
    </row>
    <row r="49" spans="1:3" ht="12.75">
      <c r="A49" s="32" t="s">
        <v>184</v>
      </c>
      <c r="B49" s="32">
        <v>1</v>
      </c>
      <c r="C49" s="36">
        <f>B49-B50</f>
        <v>0.43000000000000005</v>
      </c>
    </row>
    <row r="50" spans="1:3" ht="12.75">
      <c r="A50" s="32" t="s">
        <v>185</v>
      </c>
      <c r="B50" s="32">
        <v>0.57</v>
      </c>
      <c r="C50" s="36">
        <f>B50-B51</f>
        <v>0.4503</v>
      </c>
    </row>
    <row r="51" spans="1:3" ht="12.75">
      <c r="A51" s="32" t="s">
        <v>186</v>
      </c>
      <c r="B51" s="37">
        <f>0.21*B50</f>
        <v>0.11969999999999999</v>
      </c>
      <c r="C51" s="36">
        <f>B51</f>
        <v>0.11969999999999999</v>
      </c>
    </row>
    <row r="53" spans="2:4" ht="12.75">
      <c r="B53" s="32" t="s">
        <v>187</v>
      </c>
      <c r="C53" s="32" t="s">
        <v>188</v>
      </c>
      <c r="D53" s="32" t="s">
        <v>189</v>
      </c>
    </row>
    <row r="54" spans="1:4" ht="12.75">
      <c r="A54" s="51" t="s">
        <v>273</v>
      </c>
      <c r="B54" s="38">
        <v>7.8</v>
      </c>
      <c r="C54" s="38">
        <v>7.4</v>
      </c>
      <c r="D54" s="38">
        <v>14</v>
      </c>
    </row>
    <row r="55" spans="1:4" ht="12.75">
      <c r="A55" s="32" t="s">
        <v>190</v>
      </c>
      <c r="B55" s="38">
        <v>13.6</v>
      </c>
      <c r="C55" s="38">
        <v>10.4</v>
      </c>
      <c r="D55" s="38">
        <v>5.5</v>
      </c>
    </row>
    <row r="56" spans="1:4" ht="12.75">
      <c r="A56" s="51" t="s">
        <v>274</v>
      </c>
      <c r="B56" s="38">
        <v>13.8</v>
      </c>
      <c r="C56" s="38">
        <v>14</v>
      </c>
      <c r="D56" s="38">
        <v>14.6</v>
      </c>
    </row>
    <row r="57" spans="1:4" ht="12.75">
      <c r="A57" s="51" t="s">
        <v>275</v>
      </c>
      <c r="B57" s="38">
        <v>0.5</v>
      </c>
      <c r="C57" s="38">
        <v>0.6</v>
      </c>
      <c r="D57" s="38">
        <v>1.1</v>
      </c>
    </row>
    <row r="58" spans="1:4" ht="12.75">
      <c r="A58" s="32" t="s">
        <v>181</v>
      </c>
      <c r="B58" s="38">
        <v>57.3</v>
      </c>
      <c r="C58" s="38">
        <v>61.7</v>
      </c>
      <c r="D58" s="38">
        <v>64</v>
      </c>
    </row>
  </sheetData>
  <sheetProtection sheet="1" objects="1" scenarios="1"/>
  <hyperlinks>
    <hyperlink ref="A9" r:id="rId1" display="http://www.communitiesjust4kids.org/images/DoWhatWorksSample11-1-04.pdf"/>
    <hyperlink ref="A10" r:id="rId2" display="http://www.washingtonpost.com/wp-dyn/articles/A6900-2004Nov23.html"/>
    <hyperlink ref="A8" r:id="rId3" display="http://www.communitiesjust4kids.org/"/>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62"/>
  <sheetViews>
    <sheetView workbookViewId="0" topLeftCell="A1">
      <selection activeCell="A1" sqref="A1"/>
    </sheetView>
  </sheetViews>
  <sheetFormatPr defaultColWidth="9.00390625" defaultRowHeight="12"/>
  <cols>
    <col min="1" max="1" width="43.875" style="40" customWidth="1"/>
    <col min="2" max="2" width="14.375" style="40" customWidth="1"/>
    <col min="3" max="3" width="6.625" style="40" customWidth="1"/>
    <col min="4" max="4" width="11.75390625" style="40" customWidth="1"/>
    <col min="5" max="5" width="11.875" style="40" customWidth="1"/>
    <col min="6" max="6" width="12.625" style="40" customWidth="1"/>
    <col min="7" max="7" width="7.75390625" style="40" customWidth="1"/>
    <col min="8" max="8" width="5.25390625" style="40" customWidth="1"/>
    <col min="9" max="9" width="8.375" style="40" customWidth="1"/>
    <col min="10" max="16384" width="9.125" style="40" customWidth="1"/>
  </cols>
  <sheetData>
    <row r="1" spans="1:10" ht="12.75">
      <c r="A1" s="44" t="s">
        <v>249</v>
      </c>
      <c r="B1" s="44" t="s">
        <v>191</v>
      </c>
      <c r="C1" s="44" t="s">
        <v>265</v>
      </c>
      <c r="D1" s="44" t="s">
        <v>256</v>
      </c>
      <c r="E1" s="42" t="s">
        <v>250</v>
      </c>
      <c r="F1" s="42" t="s">
        <v>252</v>
      </c>
      <c r="G1" s="42" t="s">
        <v>254</v>
      </c>
      <c r="H1" s="42" t="s">
        <v>253</v>
      </c>
      <c r="I1" s="42" t="s">
        <v>266</v>
      </c>
      <c r="J1" s="42" t="s">
        <v>270</v>
      </c>
    </row>
    <row r="2" spans="1:10" ht="12.75">
      <c r="A2" s="42" t="s">
        <v>244</v>
      </c>
      <c r="B2" s="40" t="s">
        <v>199</v>
      </c>
      <c r="C2" s="40">
        <v>12</v>
      </c>
      <c r="D2" s="41">
        <f aca="true" t="shared" si="0" ref="D2:D33">C2/C$53</f>
        <v>0.004692999608916699</v>
      </c>
      <c r="E2" s="40">
        <v>34</v>
      </c>
      <c r="F2" s="45">
        <v>843524</v>
      </c>
      <c r="G2" s="47">
        <f aca="true" t="shared" si="1" ref="G2:G33">(C2/F2)*1000000</f>
        <v>14.226032691423125</v>
      </c>
      <c r="I2" s="40">
        <v>46</v>
      </c>
      <c r="J2" s="49">
        <f>C2/I2</f>
        <v>0.2608695652173913</v>
      </c>
    </row>
    <row r="3" spans="1:10" ht="12.75">
      <c r="A3" s="42" t="s">
        <v>244</v>
      </c>
      <c r="B3" s="40" t="s">
        <v>200</v>
      </c>
      <c r="C3" s="40">
        <v>4</v>
      </c>
      <c r="D3" s="41">
        <f t="shared" si="0"/>
        <v>0.001564333202972233</v>
      </c>
      <c r="E3" s="40">
        <v>45</v>
      </c>
      <c r="F3" s="45">
        <v>550521</v>
      </c>
      <c r="G3" s="47">
        <f t="shared" si="1"/>
        <v>7.2658445363573785</v>
      </c>
      <c r="I3" s="40">
        <v>39</v>
      </c>
      <c r="J3" s="49">
        <f>C3/I3</f>
        <v>0.10256410256410256</v>
      </c>
    </row>
    <row r="4" spans="1:10" ht="12.75">
      <c r="A4" s="42" t="s">
        <v>244</v>
      </c>
      <c r="B4" s="40" t="s">
        <v>212</v>
      </c>
      <c r="C4" s="40">
        <v>123</v>
      </c>
      <c r="D4" s="41">
        <f t="shared" si="0"/>
        <v>0.04810324599139617</v>
      </c>
      <c r="E4" s="40">
        <v>6</v>
      </c>
      <c r="F4" s="45">
        <v>5600388</v>
      </c>
      <c r="G4" s="47">
        <f t="shared" si="1"/>
        <v>21.962764008493696</v>
      </c>
      <c r="I4" s="40">
        <v>277</v>
      </c>
      <c r="J4" s="49">
        <f>C4/I4</f>
        <v>0.44404332129963897</v>
      </c>
    </row>
    <row r="5" spans="1:10" ht="12.75">
      <c r="A5" s="42" t="s">
        <v>244</v>
      </c>
      <c r="B5" s="40" t="s">
        <v>222</v>
      </c>
      <c r="C5" s="40">
        <v>48</v>
      </c>
      <c r="D5" s="41">
        <f t="shared" si="0"/>
        <v>0.018771998435666796</v>
      </c>
      <c r="E5" s="40">
        <v>13</v>
      </c>
      <c r="F5" s="45">
        <v>8717925</v>
      </c>
      <c r="G5" s="47">
        <f t="shared" si="1"/>
        <v>5.505897332220684</v>
      </c>
      <c r="I5" s="40">
        <v>433</v>
      </c>
      <c r="J5" s="49">
        <f aca="true" t="shared" si="2" ref="J5:J53">C5/I5</f>
        <v>0.11085450346420324</v>
      </c>
    </row>
    <row r="6" spans="1:10" ht="12.75">
      <c r="A6" s="42" t="s">
        <v>244</v>
      </c>
      <c r="B6" s="40" t="s">
        <v>224</v>
      </c>
      <c r="C6" s="40">
        <v>257</v>
      </c>
      <c r="D6" s="41">
        <f t="shared" si="0"/>
        <v>0.10050840829096598</v>
      </c>
      <c r="E6" s="40">
        <v>4</v>
      </c>
      <c r="F6" s="45">
        <v>19254630</v>
      </c>
      <c r="G6" s="47">
        <f t="shared" si="1"/>
        <v>13.347439031547218</v>
      </c>
      <c r="I6" s="40">
        <v>951</v>
      </c>
      <c r="J6" s="49">
        <f t="shared" si="2"/>
        <v>0.27024185068349105</v>
      </c>
    </row>
    <row r="7" spans="1:10" ht="12.75">
      <c r="A7" s="42" t="s">
        <v>244</v>
      </c>
      <c r="B7" s="40" t="s">
        <v>230</v>
      </c>
      <c r="C7" s="40">
        <v>47</v>
      </c>
      <c r="D7" s="41">
        <f t="shared" si="0"/>
        <v>0.01838091513492374</v>
      </c>
      <c r="E7" s="40">
        <v>14</v>
      </c>
      <c r="F7" s="45">
        <v>12429616</v>
      </c>
      <c r="G7" s="47">
        <f t="shared" si="1"/>
        <v>3.781291393072803</v>
      </c>
      <c r="I7" s="40">
        <v>655</v>
      </c>
      <c r="J7" s="49">
        <f t="shared" si="2"/>
        <v>0.0717557251908397</v>
      </c>
    </row>
    <row r="8" spans="1:10" ht="12.75">
      <c r="A8" s="42" t="s">
        <v>246</v>
      </c>
      <c r="B8" s="40" t="s">
        <v>205</v>
      </c>
      <c r="C8" s="40">
        <v>53</v>
      </c>
      <c r="D8" s="41">
        <f t="shared" si="0"/>
        <v>0.02072741493938209</v>
      </c>
      <c r="E8" s="40">
        <v>11</v>
      </c>
      <c r="F8" s="45">
        <v>12763371</v>
      </c>
      <c r="G8" s="47">
        <f t="shared" si="1"/>
        <v>4.152507985547079</v>
      </c>
      <c r="I8" s="40">
        <v>487</v>
      </c>
      <c r="J8" s="49">
        <f t="shared" si="2"/>
        <v>0.10882956878850103</v>
      </c>
    </row>
    <row r="9" spans="1:10" ht="12.75">
      <c r="A9" s="42" t="s">
        <v>246</v>
      </c>
      <c r="B9" s="40" t="s">
        <v>206</v>
      </c>
      <c r="C9" s="40">
        <v>32</v>
      </c>
      <c r="D9" s="41">
        <f t="shared" si="0"/>
        <v>0.012514665623777864</v>
      </c>
      <c r="E9" s="40">
        <v>22</v>
      </c>
      <c r="F9" s="45">
        <v>6271973</v>
      </c>
      <c r="G9" s="47">
        <f t="shared" si="1"/>
        <v>5.10206277992587</v>
      </c>
      <c r="I9" s="40">
        <v>359</v>
      </c>
      <c r="J9" s="49">
        <f t="shared" si="2"/>
        <v>0.08913649025069638</v>
      </c>
    </row>
    <row r="10" spans="1:10" ht="12.75">
      <c r="A10" s="42" t="s">
        <v>246</v>
      </c>
      <c r="B10" s="40" t="s">
        <v>207</v>
      </c>
      <c r="C10" s="40">
        <v>11</v>
      </c>
      <c r="D10" s="41">
        <f t="shared" si="0"/>
        <v>0.004301916308173641</v>
      </c>
      <c r="E10" s="40">
        <v>36</v>
      </c>
      <c r="F10" s="45">
        <v>2966334</v>
      </c>
      <c r="G10" s="47">
        <f t="shared" si="1"/>
        <v>3.7082809960038214</v>
      </c>
      <c r="I10" s="40">
        <v>144</v>
      </c>
      <c r="J10" s="49">
        <f t="shared" si="2"/>
        <v>0.0763888888888889</v>
      </c>
    </row>
    <row r="11" spans="1:10" ht="12.75">
      <c r="A11" s="42" t="s">
        <v>246</v>
      </c>
      <c r="B11" s="40" t="s">
        <v>208</v>
      </c>
      <c r="C11" s="40">
        <v>8</v>
      </c>
      <c r="D11" s="41">
        <f t="shared" si="0"/>
        <v>0.003128666405944466</v>
      </c>
      <c r="E11" s="40">
        <v>39</v>
      </c>
      <c r="F11" s="45">
        <v>2744687</v>
      </c>
      <c r="G11" s="47">
        <f t="shared" si="1"/>
        <v>2.914722152289132</v>
      </c>
      <c r="I11" s="40">
        <v>98</v>
      </c>
      <c r="J11" s="49">
        <f t="shared" si="2"/>
        <v>0.08163265306122448</v>
      </c>
    </row>
    <row r="12" spans="1:10" ht="12.75">
      <c r="A12" s="42" t="s">
        <v>246</v>
      </c>
      <c r="B12" s="40" t="s">
        <v>214</v>
      </c>
      <c r="C12" s="40">
        <v>38</v>
      </c>
      <c r="D12" s="41">
        <f t="shared" si="0"/>
        <v>0.014861165428236215</v>
      </c>
      <c r="E12" s="40">
        <v>17</v>
      </c>
      <c r="F12" s="45">
        <v>10120860</v>
      </c>
      <c r="G12" s="47">
        <f t="shared" si="1"/>
        <v>3.754621642824819</v>
      </c>
      <c r="I12" s="40">
        <v>467</v>
      </c>
      <c r="J12" s="49">
        <f t="shared" si="2"/>
        <v>0.08137044967880086</v>
      </c>
    </row>
    <row r="13" spans="1:10" ht="12.75">
      <c r="A13" s="42" t="s">
        <v>246</v>
      </c>
      <c r="B13" s="40" t="s">
        <v>215</v>
      </c>
      <c r="C13" s="40">
        <v>35</v>
      </c>
      <c r="D13" s="41">
        <f t="shared" si="0"/>
        <v>0.01368791552600704</v>
      </c>
      <c r="E13" s="40">
        <v>19</v>
      </c>
      <c r="F13" s="45">
        <v>5132799</v>
      </c>
      <c r="G13" s="47">
        <f t="shared" si="1"/>
        <v>6.818891602807747</v>
      </c>
      <c r="I13" s="40">
        <v>232</v>
      </c>
      <c r="J13" s="49">
        <f t="shared" si="2"/>
        <v>0.15086206896551724</v>
      </c>
    </row>
    <row r="14" spans="1:10" ht="12.75">
      <c r="A14" s="42" t="s">
        <v>246</v>
      </c>
      <c r="B14" s="40" t="s">
        <v>217</v>
      </c>
      <c r="C14" s="40">
        <v>38</v>
      </c>
      <c r="D14" s="41">
        <f t="shared" si="0"/>
        <v>0.014861165428236215</v>
      </c>
      <c r="E14" s="40">
        <v>18</v>
      </c>
      <c r="F14" s="45">
        <v>5800310</v>
      </c>
      <c r="G14" s="47">
        <f t="shared" si="1"/>
        <v>6.5513739782873674</v>
      </c>
      <c r="I14" s="40">
        <v>221</v>
      </c>
      <c r="J14" s="49">
        <f t="shared" si="2"/>
        <v>0.17194570135746606</v>
      </c>
    </row>
    <row r="15" spans="1:10" ht="12.75">
      <c r="A15" s="42" t="s">
        <v>246</v>
      </c>
      <c r="B15" s="40" t="s">
        <v>219</v>
      </c>
      <c r="C15" s="40">
        <v>15</v>
      </c>
      <c r="D15" s="41">
        <f t="shared" si="0"/>
        <v>0.005866249511145874</v>
      </c>
      <c r="E15" s="40">
        <v>31</v>
      </c>
      <c r="F15" s="45">
        <v>1758787</v>
      </c>
      <c r="G15" s="47">
        <f t="shared" si="1"/>
        <v>8.528605226215568</v>
      </c>
      <c r="I15" s="40">
        <v>72</v>
      </c>
      <c r="J15" s="49">
        <f t="shared" si="2"/>
        <v>0.20833333333333334</v>
      </c>
    </row>
    <row r="16" spans="1:10" ht="12.75">
      <c r="A16" s="42" t="s">
        <v>246</v>
      </c>
      <c r="B16" s="40" t="s">
        <v>226</v>
      </c>
      <c r="C16" s="40">
        <v>0</v>
      </c>
      <c r="D16" s="41">
        <f t="shared" si="0"/>
        <v>0</v>
      </c>
      <c r="E16" s="40">
        <v>51</v>
      </c>
      <c r="F16" s="45">
        <v>636677</v>
      </c>
      <c r="G16" s="47">
        <f t="shared" si="1"/>
        <v>0</v>
      </c>
      <c r="I16" s="40">
        <v>17</v>
      </c>
      <c r="J16" s="49">
        <f t="shared" si="2"/>
        <v>0</v>
      </c>
    </row>
    <row r="17" spans="1:10" ht="12.75">
      <c r="A17" s="42" t="s">
        <v>246</v>
      </c>
      <c r="B17" s="40" t="s">
        <v>227</v>
      </c>
      <c r="C17" s="40">
        <v>29</v>
      </c>
      <c r="D17" s="41">
        <f t="shared" si="0"/>
        <v>0.01134141572154869</v>
      </c>
      <c r="E17" s="40">
        <v>24</v>
      </c>
      <c r="F17" s="45">
        <v>11464042</v>
      </c>
      <c r="G17" s="47">
        <f t="shared" si="1"/>
        <v>2.529648792284606</v>
      </c>
      <c r="I17" s="40">
        <v>586</v>
      </c>
      <c r="J17" s="49">
        <f t="shared" si="2"/>
        <v>0.04948805460750853</v>
      </c>
    </row>
    <row r="18" spans="1:10" ht="12.75">
      <c r="A18" s="42" t="s">
        <v>246</v>
      </c>
      <c r="B18" s="40" t="s">
        <v>233</v>
      </c>
      <c r="C18" s="40">
        <v>3</v>
      </c>
      <c r="D18" s="41">
        <f t="shared" si="0"/>
        <v>0.0011732499022291747</v>
      </c>
      <c r="E18" s="40">
        <v>47</v>
      </c>
      <c r="F18" s="45">
        <v>775933</v>
      </c>
      <c r="G18" s="47">
        <f t="shared" si="1"/>
        <v>3.8663131997221414</v>
      </c>
      <c r="I18" s="40">
        <v>59</v>
      </c>
      <c r="J18" s="49">
        <f t="shared" si="2"/>
        <v>0.05084745762711865</v>
      </c>
    </row>
    <row r="19" spans="1:10" ht="12.75">
      <c r="A19" s="42" t="s">
        <v>246</v>
      </c>
      <c r="B19" s="40" t="s">
        <v>240</v>
      </c>
      <c r="C19" s="40">
        <v>8</v>
      </c>
      <c r="D19" s="41">
        <f t="shared" si="0"/>
        <v>0.003128666405944466</v>
      </c>
      <c r="E19" s="40">
        <v>41</v>
      </c>
      <c r="F19" s="45">
        <v>1816856</v>
      </c>
      <c r="G19" s="47">
        <f t="shared" si="1"/>
        <v>4.403210821330914</v>
      </c>
      <c r="I19" s="40">
        <v>101</v>
      </c>
      <c r="J19" s="49">
        <f t="shared" si="2"/>
        <v>0.07920792079207921</v>
      </c>
    </row>
    <row r="20" spans="1:10" ht="12.75">
      <c r="A20" s="42" t="s">
        <v>246</v>
      </c>
      <c r="B20" s="40" t="s">
        <v>241</v>
      </c>
      <c r="C20" s="40">
        <v>26</v>
      </c>
      <c r="D20" s="41">
        <f t="shared" si="0"/>
        <v>0.010168165819319515</v>
      </c>
      <c r="E20" s="40">
        <v>26</v>
      </c>
      <c r="F20" s="45">
        <v>5536201</v>
      </c>
      <c r="G20" s="47">
        <f t="shared" si="1"/>
        <v>4.696361277345241</v>
      </c>
      <c r="I20" s="40">
        <v>357</v>
      </c>
      <c r="J20" s="49">
        <f t="shared" si="2"/>
        <v>0.07282913165266107</v>
      </c>
    </row>
    <row r="21" spans="1:10" ht="12.75">
      <c r="A21" s="42" t="s">
        <v>243</v>
      </c>
      <c r="B21" s="40" t="s">
        <v>198</v>
      </c>
      <c r="C21" s="40">
        <v>21</v>
      </c>
      <c r="D21" s="41">
        <f t="shared" si="0"/>
        <v>0.008212749315604223</v>
      </c>
      <c r="E21" s="40">
        <v>28</v>
      </c>
      <c r="F21" s="45">
        <v>3510297</v>
      </c>
      <c r="G21" s="47">
        <f t="shared" si="1"/>
        <v>5.982399779847689</v>
      </c>
      <c r="I21" s="40">
        <v>206</v>
      </c>
      <c r="J21" s="49">
        <f t="shared" si="2"/>
        <v>0.10194174757281553</v>
      </c>
    </row>
    <row r="22" spans="1:10" ht="12.75">
      <c r="A22" s="42" t="s">
        <v>243</v>
      </c>
      <c r="B22" s="40" t="s">
        <v>211</v>
      </c>
      <c r="C22" s="40">
        <v>10</v>
      </c>
      <c r="D22" s="41">
        <f t="shared" si="0"/>
        <v>0.003910833007430583</v>
      </c>
      <c r="E22" s="40">
        <v>38</v>
      </c>
      <c r="F22" s="45">
        <v>1321505</v>
      </c>
      <c r="G22" s="47">
        <f t="shared" si="1"/>
        <v>7.5671299011354485</v>
      </c>
      <c r="I22" s="40">
        <v>122</v>
      </c>
      <c r="J22" s="49">
        <f t="shared" si="2"/>
        <v>0.08196721311475409</v>
      </c>
    </row>
    <row r="23" spans="1:10" ht="12.75">
      <c r="A23" s="42" t="s">
        <v>243</v>
      </c>
      <c r="B23" s="40" t="s">
        <v>213</v>
      </c>
      <c r="C23" s="40">
        <v>29</v>
      </c>
      <c r="D23" s="41">
        <f t="shared" si="0"/>
        <v>0.01134141572154869</v>
      </c>
      <c r="E23" s="40">
        <v>23</v>
      </c>
      <c r="F23" s="45">
        <v>6398743</v>
      </c>
      <c r="G23" s="47">
        <f t="shared" si="1"/>
        <v>4.532140140649499</v>
      </c>
      <c r="I23" s="40">
        <v>365</v>
      </c>
      <c r="J23" s="49">
        <f t="shared" si="2"/>
        <v>0.07945205479452055</v>
      </c>
    </row>
    <row r="24" spans="1:10" ht="12.75">
      <c r="A24" s="42" t="s">
        <v>243</v>
      </c>
      <c r="B24" s="40" t="s">
        <v>221</v>
      </c>
      <c r="C24" s="40">
        <v>6</v>
      </c>
      <c r="D24" s="41">
        <f t="shared" si="0"/>
        <v>0.0023464998044583495</v>
      </c>
      <c r="E24" s="40">
        <v>42</v>
      </c>
      <c r="F24" s="45">
        <v>1309940</v>
      </c>
      <c r="G24" s="47">
        <f t="shared" si="1"/>
        <v>4.580362459349283</v>
      </c>
      <c r="I24" s="40">
        <v>81</v>
      </c>
      <c r="J24" s="49">
        <f t="shared" si="2"/>
        <v>0.07407407407407407</v>
      </c>
    </row>
    <row r="25" spans="1:10" ht="12.75">
      <c r="A25" s="42" t="s">
        <v>243</v>
      </c>
      <c r="B25" s="40" t="s">
        <v>231</v>
      </c>
      <c r="C25" s="40">
        <v>5</v>
      </c>
      <c r="D25" s="41">
        <f t="shared" si="0"/>
        <v>0.0019554165037152915</v>
      </c>
      <c r="E25" s="40">
        <v>44</v>
      </c>
      <c r="F25" s="45">
        <v>1076189</v>
      </c>
      <c r="G25" s="47">
        <f t="shared" si="1"/>
        <v>4.646024071979922</v>
      </c>
      <c r="I25" s="40">
        <v>51</v>
      </c>
      <c r="J25" s="49">
        <f t="shared" si="2"/>
        <v>0.09803921568627451</v>
      </c>
    </row>
    <row r="26" spans="1:10" ht="12.75">
      <c r="A26" s="42" t="s">
        <v>243</v>
      </c>
      <c r="B26" s="40" t="s">
        <v>237</v>
      </c>
      <c r="C26" s="40">
        <v>8</v>
      </c>
      <c r="D26" s="41">
        <f t="shared" si="0"/>
        <v>0.003128666405944466</v>
      </c>
      <c r="E26" s="40">
        <v>40</v>
      </c>
      <c r="F26" s="45">
        <v>623050</v>
      </c>
      <c r="G26" s="47">
        <f t="shared" si="1"/>
        <v>12.840060990289704</v>
      </c>
      <c r="I26" s="40">
        <v>60</v>
      </c>
      <c r="J26" s="49">
        <f t="shared" si="2"/>
        <v>0.13333333333333333</v>
      </c>
    </row>
    <row r="27" spans="1:10" ht="12.75">
      <c r="A27" s="42" t="s">
        <v>247</v>
      </c>
      <c r="B27" s="40" t="s">
        <v>192</v>
      </c>
      <c r="C27" s="40">
        <v>2</v>
      </c>
      <c r="D27" s="41">
        <f t="shared" si="0"/>
        <v>0.0007821666014861165</v>
      </c>
      <c r="E27" s="40">
        <v>48</v>
      </c>
      <c r="F27" s="45">
        <v>4557808</v>
      </c>
      <c r="G27" s="47">
        <f t="shared" si="1"/>
        <v>0.43880742672793593</v>
      </c>
      <c r="I27" s="40">
        <v>188</v>
      </c>
      <c r="J27" s="49">
        <f t="shared" si="2"/>
        <v>0.010638297872340425</v>
      </c>
    </row>
    <row r="28" spans="1:10" ht="12.75">
      <c r="A28" s="42" t="s">
        <v>247</v>
      </c>
      <c r="B28" s="40" t="s">
        <v>201</v>
      </c>
      <c r="C28" s="40">
        <v>260</v>
      </c>
      <c r="D28" s="41">
        <f t="shared" si="0"/>
        <v>0.10168165819319515</v>
      </c>
      <c r="E28" s="40">
        <v>3</v>
      </c>
      <c r="F28" s="45">
        <v>17789864</v>
      </c>
      <c r="G28" s="47">
        <f t="shared" si="1"/>
        <v>14.615063948774425</v>
      </c>
      <c r="I28" s="40">
        <v>562</v>
      </c>
      <c r="J28" s="49">
        <f t="shared" si="2"/>
        <v>0.4626334519572954</v>
      </c>
    </row>
    <row r="29" spans="1:10" ht="12.75">
      <c r="A29" s="42" t="s">
        <v>247</v>
      </c>
      <c r="B29" s="40" t="s">
        <v>202</v>
      </c>
      <c r="C29" s="40">
        <v>165</v>
      </c>
      <c r="D29" s="41">
        <f t="shared" si="0"/>
        <v>0.06452874462260462</v>
      </c>
      <c r="E29" s="40">
        <v>5</v>
      </c>
      <c r="F29" s="45">
        <v>9072576</v>
      </c>
      <c r="G29" s="47">
        <f t="shared" si="1"/>
        <v>18.186675978244764</v>
      </c>
      <c r="I29" s="40">
        <v>442</v>
      </c>
      <c r="J29" s="49">
        <f t="shared" si="2"/>
        <v>0.3733031674208145</v>
      </c>
    </row>
    <row r="30" spans="1:10" ht="12.75">
      <c r="A30" s="42" t="s">
        <v>247</v>
      </c>
      <c r="B30" s="40" t="s">
        <v>209</v>
      </c>
      <c r="C30" s="40">
        <v>51</v>
      </c>
      <c r="D30" s="41">
        <f t="shared" si="0"/>
        <v>0.01994524833789597</v>
      </c>
      <c r="E30" s="40">
        <v>12</v>
      </c>
      <c r="F30" s="45">
        <v>4173405</v>
      </c>
      <c r="G30" s="47">
        <f t="shared" si="1"/>
        <v>12.220237432024929</v>
      </c>
      <c r="I30" s="40">
        <v>246</v>
      </c>
      <c r="J30" s="49">
        <f t="shared" si="2"/>
        <v>0.2073170731707317</v>
      </c>
    </row>
    <row r="31" spans="1:10" ht="12.75">
      <c r="A31" s="42" t="s">
        <v>247</v>
      </c>
      <c r="B31" s="40" t="s">
        <v>210</v>
      </c>
      <c r="C31" s="40">
        <v>14</v>
      </c>
      <c r="D31" s="41">
        <f t="shared" si="0"/>
        <v>0.005475166210402816</v>
      </c>
      <c r="E31" s="40">
        <v>33</v>
      </c>
      <c r="F31" s="45">
        <v>4523628</v>
      </c>
      <c r="G31" s="47">
        <f t="shared" si="1"/>
        <v>3.094861027476176</v>
      </c>
      <c r="I31" s="40">
        <v>153</v>
      </c>
      <c r="J31" s="49">
        <f t="shared" si="2"/>
        <v>0.0915032679738562</v>
      </c>
    </row>
    <row r="32" spans="1:10" ht="12.75">
      <c r="A32" s="42" t="s">
        <v>247</v>
      </c>
      <c r="B32" s="40" t="s">
        <v>216</v>
      </c>
      <c r="C32" s="40">
        <v>23</v>
      </c>
      <c r="D32" s="41">
        <f t="shared" si="0"/>
        <v>0.00899491591709034</v>
      </c>
      <c r="E32" s="40">
        <v>27</v>
      </c>
      <c r="F32" s="45">
        <v>2921088</v>
      </c>
      <c r="G32" s="47">
        <f t="shared" si="1"/>
        <v>7.873778537312125</v>
      </c>
      <c r="I32" s="40">
        <v>171</v>
      </c>
      <c r="J32" s="49">
        <f t="shared" si="2"/>
        <v>0.13450292397660818</v>
      </c>
    </row>
    <row r="33" spans="1:10" ht="12.75">
      <c r="A33" s="42" t="s">
        <v>247</v>
      </c>
      <c r="B33" s="40" t="s">
        <v>225</v>
      </c>
      <c r="C33" s="40">
        <v>73</v>
      </c>
      <c r="D33" s="41">
        <f t="shared" si="0"/>
        <v>0.028549080954243255</v>
      </c>
      <c r="E33" s="40">
        <v>7</v>
      </c>
      <c r="F33" s="45">
        <v>8683242</v>
      </c>
      <c r="G33" s="47">
        <f t="shared" si="1"/>
        <v>8.40699821564342</v>
      </c>
      <c r="I33" s="40">
        <v>453</v>
      </c>
      <c r="J33" s="49">
        <f t="shared" si="2"/>
        <v>0.16114790286975716</v>
      </c>
    </row>
    <row r="34" spans="1:10" ht="12.75">
      <c r="A34" s="42" t="s">
        <v>247</v>
      </c>
      <c r="B34" s="40" t="s">
        <v>232</v>
      </c>
      <c r="C34" s="40">
        <v>35</v>
      </c>
      <c r="D34" s="41">
        <f aca="true" t="shared" si="3" ref="D34:D52">C34/C$53</f>
        <v>0.01368791552600704</v>
      </c>
      <c r="E34" s="40">
        <v>20</v>
      </c>
      <c r="F34" s="45">
        <v>4255083</v>
      </c>
      <c r="G34" s="47">
        <f aca="true" t="shared" si="4" ref="G34:G53">(C34/F34)*1000000</f>
        <v>8.225456471706897</v>
      </c>
      <c r="I34" s="40">
        <v>212</v>
      </c>
      <c r="J34" s="49">
        <f t="shared" si="2"/>
        <v>0.1650943396226415</v>
      </c>
    </row>
    <row r="35" spans="1:10" ht="12.75">
      <c r="A35" s="42" t="s">
        <v>247</v>
      </c>
      <c r="B35" s="40" t="s">
        <v>234</v>
      </c>
      <c r="C35" s="40">
        <v>20</v>
      </c>
      <c r="D35" s="41">
        <f t="shared" si="3"/>
        <v>0.007821666014861166</v>
      </c>
      <c r="E35" s="40">
        <v>30</v>
      </c>
      <c r="F35" s="45">
        <v>5962959</v>
      </c>
      <c r="G35" s="47">
        <f t="shared" si="4"/>
        <v>3.354039496162895</v>
      </c>
      <c r="I35" s="40">
        <v>241</v>
      </c>
      <c r="J35" s="49">
        <f t="shared" si="2"/>
        <v>0.08298755186721991</v>
      </c>
    </row>
    <row r="36" spans="1:10" ht="12.75">
      <c r="A36" s="42" t="s">
        <v>247</v>
      </c>
      <c r="B36" s="40" t="s">
        <v>238</v>
      </c>
      <c r="C36" s="40">
        <v>73</v>
      </c>
      <c r="D36" s="41">
        <f t="shared" si="3"/>
        <v>0.028549080954243255</v>
      </c>
      <c r="E36" s="40">
        <v>8</v>
      </c>
      <c r="F36" s="45">
        <v>7567465</v>
      </c>
      <c r="G36" s="47">
        <f t="shared" si="4"/>
        <v>9.64655931675931</v>
      </c>
      <c r="I36" s="40">
        <v>347</v>
      </c>
      <c r="J36" s="49">
        <f t="shared" si="2"/>
        <v>0.21037463976945245</v>
      </c>
    </row>
    <row r="37" spans="1:10" ht="12.75">
      <c r="A37" s="42" t="s">
        <v>248</v>
      </c>
      <c r="B37" s="40" t="s">
        <v>195</v>
      </c>
      <c r="C37" s="40">
        <v>65</v>
      </c>
      <c r="D37" s="41">
        <f t="shared" si="3"/>
        <v>0.025420414548298787</v>
      </c>
      <c r="E37" s="40">
        <v>9</v>
      </c>
      <c r="F37" s="45">
        <v>2779154</v>
      </c>
      <c r="G37" s="47">
        <f t="shared" si="4"/>
        <v>23.38841244493828</v>
      </c>
      <c r="I37" s="40">
        <v>283</v>
      </c>
      <c r="J37" s="49">
        <f t="shared" si="2"/>
        <v>0.22968197879858657</v>
      </c>
    </row>
    <row r="38" spans="1:10" ht="12.75">
      <c r="A38" s="42" t="s">
        <v>248</v>
      </c>
      <c r="B38" s="40" t="s">
        <v>223</v>
      </c>
      <c r="C38" s="40">
        <v>20</v>
      </c>
      <c r="D38" s="41">
        <f t="shared" si="3"/>
        <v>0.007821666014861166</v>
      </c>
      <c r="E38" s="40">
        <v>29</v>
      </c>
      <c r="F38" s="45">
        <v>1928384</v>
      </c>
      <c r="G38" s="47">
        <f t="shared" si="4"/>
        <v>10.37137831469251</v>
      </c>
      <c r="I38" s="40">
        <v>80</v>
      </c>
      <c r="J38" s="49">
        <f t="shared" si="2"/>
        <v>0.25</v>
      </c>
    </row>
    <row r="39" spans="1:10" ht="12.75">
      <c r="A39" s="42" t="s">
        <v>248</v>
      </c>
      <c r="B39" s="40" t="s">
        <v>228</v>
      </c>
      <c r="C39" s="40">
        <v>33</v>
      </c>
      <c r="D39" s="41">
        <f t="shared" si="3"/>
        <v>0.012905748924520923</v>
      </c>
      <c r="E39" s="40">
        <v>21</v>
      </c>
      <c r="F39" s="45">
        <v>3547884</v>
      </c>
      <c r="G39" s="47">
        <f t="shared" si="4"/>
        <v>9.301318757884982</v>
      </c>
      <c r="I39" s="40">
        <v>285</v>
      </c>
      <c r="J39" s="49">
        <f t="shared" si="2"/>
        <v>0.11578947368421053</v>
      </c>
    </row>
    <row r="40" spans="1:10" ht="12.75">
      <c r="A40" s="42" t="s">
        <v>248</v>
      </c>
      <c r="B40" s="40" t="s">
        <v>235</v>
      </c>
      <c r="C40" s="40">
        <v>372</v>
      </c>
      <c r="D40" s="41">
        <f t="shared" si="3"/>
        <v>0.14548298787641767</v>
      </c>
      <c r="E40" s="40">
        <v>1</v>
      </c>
      <c r="F40" s="45">
        <v>22859968</v>
      </c>
      <c r="G40" s="47">
        <f t="shared" si="4"/>
        <v>16.272988658601797</v>
      </c>
      <c r="I40" s="40">
        <v>1221</v>
      </c>
      <c r="J40" s="49">
        <f t="shared" si="2"/>
        <v>0.3046683046683047</v>
      </c>
    </row>
    <row r="41" spans="1:10" ht="12.75">
      <c r="A41" s="42" t="s">
        <v>245</v>
      </c>
      <c r="B41" s="40" t="s">
        <v>193</v>
      </c>
      <c r="C41" s="40">
        <v>3</v>
      </c>
      <c r="D41" s="41">
        <f t="shared" si="3"/>
        <v>0.0011732499022291747</v>
      </c>
      <c r="E41" s="40">
        <v>46</v>
      </c>
      <c r="F41" s="45">
        <v>663661</v>
      </c>
      <c r="G41" s="47">
        <f t="shared" si="4"/>
        <v>4.520380133833388</v>
      </c>
      <c r="I41" s="40">
        <v>35</v>
      </c>
      <c r="J41" s="49">
        <f t="shared" si="2"/>
        <v>0.08571428571428572</v>
      </c>
    </row>
    <row r="42" spans="1:10" ht="12.75">
      <c r="A42" s="42" t="s">
        <v>245</v>
      </c>
      <c r="B42" s="40" t="s">
        <v>194</v>
      </c>
      <c r="C42" s="40">
        <v>41</v>
      </c>
      <c r="D42" s="41">
        <f t="shared" si="3"/>
        <v>0.016034415330465387</v>
      </c>
      <c r="E42" s="40">
        <v>16</v>
      </c>
      <c r="F42" s="45">
        <v>5939292</v>
      </c>
      <c r="G42" s="47">
        <f t="shared" si="4"/>
        <v>6.903179705594539</v>
      </c>
      <c r="I42" s="40">
        <v>174</v>
      </c>
      <c r="J42" s="49">
        <f t="shared" si="2"/>
        <v>0.23563218390804597</v>
      </c>
    </row>
    <row r="43" spans="1:10" ht="12.75">
      <c r="A43" s="42" t="s">
        <v>245</v>
      </c>
      <c r="B43" s="40" t="s">
        <v>196</v>
      </c>
      <c r="C43" s="40">
        <v>274</v>
      </c>
      <c r="D43" s="41">
        <f t="shared" si="3"/>
        <v>0.10715682440359797</v>
      </c>
      <c r="E43" s="40">
        <v>2</v>
      </c>
      <c r="F43" s="45">
        <v>36132147</v>
      </c>
      <c r="G43" s="47">
        <f t="shared" si="4"/>
        <v>7.583274805120216</v>
      </c>
      <c r="I43" s="40">
        <v>1315</v>
      </c>
      <c r="J43" s="49">
        <f t="shared" si="2"/>
        <v>0.20836501901140683</v>
      </c>
    </row>
    <row r="44" spans="1:10" ht="12.75">
      <c r="A44" s="42" t="s">
        <v>245</v>
      </c>
      <c r="B44" s="40" t="s">
        <v>197</v>
      </c>
      <c r="C44" s="40">
        <v>43</v>
      </c>
      <c r="D44" s="41">
        <f t="shared" si="3"/>
        <v>0.016816581931951506</v>
      </c>
      <c r="E44" s="40">
        <v>15</v>
      </c>
      <c r="F44" s="45">
        <v>4665177</v>
      </c>
      <c r="G44" s="47">
        <f t="shared" si="4"/>
        <v>9.217227985133254</v>
      </c>
      <c r="I44" s="40">
        <v>213</v>
      </c>
      <c r="J44" s="49">
        <f t="shared" si="2"/>
        <v>0.20187793427230047</v>
      </c>
    </row>
    <row r="45" spans="1:10" ht="12.75">
      <c r="A45" s="42" t="s">
        <v>245</v>
      </c>
      <c r="B45" s="40" t="s">
        <v>203</v>
      </c>
      <c r="C45" s="40">
        <v>11</v>
      </c>
      <c r="D45" s="41">
        <f t="shared" si="3"/>
        <v>0.004301916308173641</v>
      </c>
      <c r="E45" s="40">
        <v>35</v>
      </c>
      <c r="F45" s="45">
        <v>1275194</v>
      </c>
      <c r="G45" s="47">
        <f t="shared" si="4"/>
        <v>8.626138454227357</v>
      </c>
      <c r="I45" s="40">
        <v>66</v>
      </c>
      <c r="J45" s="49">
        <f t="shared" si="2"/>
        <v>0.16666666666666666</v>
      </c>
    </row>
    <row r="46" spans="1:10" ht="12.75">
      <c r="A46" s="42" t="s">
        <v>245</v>
      </c>
      <c r="B46" s="40" t="s">
        <v>204</v>
      </c>
      <c r="C46" s="40">
        <v>5</v>
      </c>
      <c r="D46" s="41">
        <f t="shared" si="3"/>
        <v>0.0019554165037152915</v>
      </c>
      <c r="E46" s="40">
        <v>43</v>
      </c>
      <c r="F46" s="45">
        <v>1429096</v>
      </c>
      <c r="G46" s="47">
        <f t="shared" si="4"/>
        <v>3.498715271752213</v>
      </c>
      <c r="I46" s="40">
        <v>67</v>
      </c>
      <c r="J46" s="49">
        <f t="shared" si="2"/>
        <v>0.07462686567164178</v>
      </c>
    </row>
    <row r="47" spans="1:10" ht="12.75">
      <c r="A47" s="42" t="s">
        <v>245</v>
      </c>
      <c r="B47" s="40" t="s">
        <v>218</v>
      </c>
      <c r="C47" s="40">
        <v>1</v>
      </c>
      <c r="D47" s="41">
        <f t="shared" si="3"/>
        <v>0.00039108330074305825</v>
      </c>
      <c r="E47" s="40">
        <v>49</v>
      </c>
      <c r="F47" s="45">
        <v>935670</v>
      </c>
      <c r="G47" s="47">
        <f t="shared" si="4"/>
        <v>1.0687528722733444</v>
      </c>
      <c r="I47" s="40">
        <v>64</v>
      </c>
      <c r="J47" s="49">
        <f t="shared" si="2"/>
        <v>0.015625</v>
      </c>
    </row>
    <row r="48" spans="1:10" ht="12.75">
      <c r="A48" s="42" t="s">
        <v>245</v>
      </c>
      <c r="B48" s="40" t="s">
        <v>220</v>
      </c>
      <c r="C48" s="40">
        <v>26</v>
      </c>
      <c r="D48" s="41">
        <f t="shared" si="3"/>
        <v>0.010168165819319515</v>
      </c>
      <c r="E48" s="40">
        <v>25</v>
      </c>
      <c r="F48" s="45">
        <v>2414807</v>
      </c>
      <c r="G48" s="47">
        <f t="shared" si="4"/>
        <v>10.766906009465767</v>
      </c>
      <c r="I48" s="40">
        <v>68</v>
      </c>
      <c r="J48" s="49">
        <f t="shared" si="2"/>
        <v>0.38235294117647056</v>
      </c>
    </row>
    <row r="49" spans="1:10" ht="12.75">
      <c r="A49" s="42" t="s">
        <v>245</v>
      </c>
      <c r="B49" s="40" t="s">
        <v>229</v>
      </c>
      <c r="C49" s="40">
        <v>11</v>
      </c>
      <c r="D49" s="41">
        <f t="shared" si="3"/>
        <v>0.004301916308173641</v>
      </c>
      <c r="E49" s="40">
        <v>37</v>
      </c>
      <c r="F49" s="45">
        <v>3641056</v>
      </c>
      <c r="G49" s="47">
        <f t="shared" si="4"/>
        <v>3.0211015705333835</v>
      </c>
      <c r="I49" s="40">
        <v>144</v>
      </c>
      <c r="J49" s="49">
        <f t="shared" si="2"/>
        <v>0.0763888888888889</v>
      </c>
    </row>
    <row r="50" spans="1:10" ht="12.75">
      <c r="A50" s="42" t="s">
        <v>245</v>
      </c>
      <c r="B50" s="40" t="s">
        <v>236</v>
      </c>
      <c r="C50" s="40">
        <v>15</v>
      </c>
      <c r="D50" s="41">
        <f t="shared" si="3"/>
        <v>0.005866249511145874</v>
      </c>
      <c r="E50" s="40">
        <v>32</v>
      </c>
      <c r="F50" s="45">
        <v>2469585</v>
      </c>
      <c r="G50" s="47">
        <f t="shared" si="4"/>
        <v>6.073895006650915</v>
      </c>
      <c r="I50" s="40">
        <v>91</v>
      </c>
      <c r="J50" s="49">
        <f t="shared" si="2"/>
        <v>0.16483516483516483</v>
      </c>
    </row>
    <row r="51" spans="1:10" ht="12.75">
      <c r="A51" s="42" t="s">
        <v>245</v>
      </c>
      <c r="B51" s="40" t="s">
        <v>239</v>
      </c>
      <c r="C51" s="40">
        <v>54</v>
      </c>
      <c r="D51" s="41">
        <f t="shared" si="3"/>
        <v>0.02111849824012515</v>
      </c>
      <c r="E51" s="40">
        <v>10</v>
      </c>
      <c r="F51" s="45">
        <v>6287759</v>
      </c>
      <c r="G51" s="47">
        <f t="shared" si="4"/>
        <v>8.588115416001154</v>
      </c>
      <c r="I51" s="40">
        <v>285</v>
      </c>
      <c r="J51" s="49">
        <f t="shared" si="2"/>
        <v>0.18947368421052632</v>
      </c>
    </row>
    <row r="52" spans="1:10" ht="12.75">
      <c r="A52" s="42" t="s">
        <v>245</v>
      </c>
      <c r="B52" s="40" t="s">
        <v>242</v>
      </c>
      <c r="C52" s="40">
        <v>1</v>
      </c>
      <c r="D52" s="41">
        <f t="shared" si="3"/>
        <v>0.00039108330074305825</v>
      </c>
      <c r="E52" s="40">
        <v>50</v>
      </c>
      <c r="F52" s="45">
        <v>509294</v>
      </c>
      <c r="G52" s="47">
        <f t="shared" si="4"/>
        <v>1.9635024170714752</v>
      </c>
      <c r="I52" s="40">
        <v>23</v>
      </c>
      <c r="J52" s="49">
        <f t="shared" si="2"/>
        <v>0.043478260869565216</v>
      </c>
    </row>
    <row r="53" spans="3:10" ht="12.75">
      <c r="C53" s="43">
        <f>SUM(C2:C52)</f>
        <v>2557</v>
      </c>
      <c r="F53" s="46">
        <f>SUM(F2:F52)</f>
        <v>296410404</v>
      </c>
      <c r="G53" s="47">
        <f t="shared" si="4"/>
        <v>8.626552798059006</v>
      </c>
      <c r="I53" s="43">
        <f>SUM(I2:I52)</f>
        <v>13915</v>
      </c>
      <c r="J53" s="49">
        <f t="shared" si="2"/>
        <v>0.1837585339561624</v>
      </c>
    </row>
    <row r="54" ht="12.75">
      <c r="K54" s="40">
        <v>64</v>
      </c>
    </row>
    <row r="55" spans="1:12" ht="12.75">
      <c r="A55" s="42" t="s">
        <v>257</v>
      </c>
      <c r="B55" s="42" t="s">
        <v>249</v>
      </c>
      <c r="C55" s="42" t="s">
        <v>255</v>
      </c>
      <c r="D55" s="42" t="s">
        <v>251</v>
      </c>
      <c r="E55" s="42" t="s">
        <v>268</v>
      </c>
      <c r="F55" s="42" t="s">
        <v>267</v>
      </c>
      <c r="G55" s="42" t="s">
        <v>264</v>
      </c>
      <c r="I55" s="50" t="s">
        <v>266</v>
      </c>
      <c r="J55" s="42" t="s">
        <v>269</v>
      </c>
      <c r="K55" s="42" t="s">
        <v>271</v>
      </c>
      <c r="L55" s="42" t="s">
        <v>272</v>
      </c>
    </row>
    <row r="56" spans="1:12" ht="12.75">
      <c r="A56" s="42" t="s">
        <v>258</v>
      </c>
      <c r="B56" s="42" t="s">
        <v>244</v>
      </c>
      <c r="C56" s="40">
        <f>SUM(DCAPWHNum+DEAPWHNum+MDAPWHNum+NJAPWHNum+NYAPWHNum+PAAPWHNum)</f>
        <v>491</v>
      </c>
      <c r="D56" s="45">
        <f>SUM(DCPop+DEPop+MDPop+NJPop+NYPop+PAPop)</f>
        <v>47396604</v>
      </c>
      <c r="E56" s="49">
        <f aca="true" t="shared" si="5" ref="E56:E61">C56/C$53</f>
        <v>0.19202190066484162</v>
      </c>
      <c r="F56" s="49">
        <f aca="true" t="shared" si="6" ref="F56:F61">D56/$F$53</f>
        <v>0.15990195809726032</v>
      </c>
      <c r="G56" s="47">
        <f aca="true" t="shared" si="7" ref="G56:G61">(C56/D56)*1000000</f>
        <v>10.359391993569835</v>
      </c>
      <c r="I56" s="40">
        <f>SUM(DCAPNum+DEAPNum+MDAPNum+NJAPNum+NYAPNum+PaAPNum)</f>
        <v>2401</v>
      </c>
      <c r="J56" s="49">
        <f aca="true" t="shared" si="8" ref="J56:J62">I56/USAPNum</f>
        <v>0.17254761049227452</v>
      </c>
      <c r="K56" s="49">
        <f>9/APSIUS</f>
        <v>0.140625</v>
      </c>
      <c r="L56" s="49">
        <f aca="true" t="shared" si="9" ref="L56:L61">C56/I56</f>
        <v>0.2044981257809246</v>
      </c>
    </row>
    <row r="57" spans="1:12" ht="12.75">
      <c r="A57" s="42" t="s">
        <v>263</v>
      </c>
      <c r="B57" s="42" t="s">
        <v>246</v>
      </c>
      <c r="C57" s="40">
        <f>SUM(ILAPWHNum+INAPWHNum+IAAPWHNum+KSAPWHNum+MIAPWHNum+MNAPWHNum+MOAPWHNum+NEAPWHNum+NDAPWHNum+OHAPWHNum+SDAPWHNum+WVAPWHNum+WIAPWHNum)</f>
        <v>296</v>
      </c>
      <c r="D57" s="45">
        <f>SUM(ILPop+INPop+IAPop+KSPop+MIPop+MNPop+MOPop+NEPop+NDPop+OHPop+SDPop+WVPop+WIPop)</f>
        <v>67788830</v>
      </c>
      <c r="E57" s="49">
        <f t="shared" si="5"/>
        <v>0.11576065701994524</v>
      </c>
      <c r="F57" s="49">
        <f t="shared" si="6"/>
        <v>0.22869922609059296</v>
      </c>
      <c r="G57" s="47">
        <f t="shared" si="7"/>
        <v>4.3665010887486915</v>
      </c>
      <c r="I57" s="40">
        <f>SUM(ILAPNum+INAPNum+IAAPNum+KSAPNum+MIAPNum+MNAPNum+MOAPNum+NEAPNum+NDAPNum+OHAPNum+SDAPNum+WVAPNum+WIAPNum)</f>
        <v>3200</v>
      </c>
      <c r="J57" s="49">
        <f t="shared" si="8"/>
        <v>0.2299676607977003</v>
      </c>
      <c r="K57" s="49">
        <f>9/APSIUS</f>
        <v>0.140625</v>
      </c>
      <c r="L57" s="49">
        <f t="shared" si="9"/>
        <v>0.0925</v>
      </c>
    </row>
    <row r="58" spans="1:12" ht="12.75">
      <c r="A58" s="42" t="s">
        <v>259</v>
      </c>
      <c r="B58" s="42" t="s">
        <v>243</v>
      </c>
      <c r="C58" s="40">
        <f>SUM(CTAPWHNum+MAAPWHNum+MEAPWHNum+NHAPWHNum+RIAPWHNum+VTAPWHNum)</f>
        <v>79</v>
      </c>
      <c r="D58" s="45">
        <f>SUM(CTPop+MAPop+MEPop+NHPop+RIPop+VTPop)</f>
        <v>14239724</v>
      </c>
      <c r="E58" s="49">
        <f t="shared" si="5"/>
        <v>0.030895580758701604</v>
      </c>
      <c r="F58" s="49">
        <f t="shared" si="6"/>
        <v>0.048040567428935456</v>
      </c>
      <c r="G58" s="47">
        <f t="shared" si="7"/>
        <v>5.547860337742501</v>
      </c>
      <c r="I58" s="40">
        <f>SUM(CTAPNum+MAAPNum+MEAPNum+NHAPNum+RIAPNum+VTAPNum)</f>
        <v>885</v>
      </c>
      <c r="J58" s="49">
        <f t="shared" si="8"/>
        <v>0.063600431189364</v>
      </c>
      <c r="K58" s="49">
        <f>3/APSIUS</f>
        <v>0.046875</v>
      </c>
      <c r="L58" s="49">
        <f t="shared" si="9"/>
        <v>0.08926553672316384</v>
      </c>
    </row>
    <row r="59" spans="1:12" ht="12.75">
      <c r="A59" s="42" t="s">
        <v>260</v>
      </c>
      <c r="B59" s="42" t="s">
        <v>247</v>
      </c>
      <c r="C59" s="40">
        <f>SUM(ALAPWHNum+FLAPWHNum+GAAPWHNum+KYAPWHNum+LAAPWHNum+MSAPWHNum+NCAPWHNum+SCAPWHNum+TNAPWHNum+VAAPWHNum)</f>
        <v>716</v>
      </c>
      <c r="D59" s="45">
        <f>SUM(ALPop+FLPop+GAPop+KYPop+LAPop+MSPop+NCPop+SCPop+TNPop+VAPop)</f>
        <v>69507118</v>
      </c>
      <c r="E59" s="49">
        <f t="shared" si="5"/>
        <v>0.2800156433320297</v>
      </c>
      <c r="F59" s="49">
        <f t="shared" si="6"/>
        <v>0.23449621559167674</v>
      </c>
      <c r="G59" s="47">
        <f t="shared" si="7"/>
        <v>10.301103262546434</v>
      </c>
      <c r="I59" s="40">
        <f>SUM(ALAPNum+FLAPNum+GAAPNum+KYAPNum+LAAPNum+MSAPNum+NCAPNum+SCAPNum+TNAPNum+VAAPNum)</f>
        <v>3015</v>
      </c>
      <c r="J59" s="49">
        <f t="shared" si="8"/>
        <v>0.2166726554078333</v>
      </c>
      <c r="K59" s="49">
        <f>13/APSIUS</f>
        <v>0.203125</v>
      </c>
      <c r="L59" s="49">
        <f t="shared" si="9"/>
        <v>0.23747927031509122</v>
      </c>
    </row>
    <row r="60" spans="1:12" ht="12.75">
      <c r="A60" s="42" t="s">
        <v>261</v>
      </c>
      <c r="B60" s="42" t="s">
        <v>248</v>
      </c>
      <c r="C60" s="40">
        <f>SUM(ARAPWHNum+NMAPWHNum+OKAPWHNum+TXAPWHNum)</f>
        <v>490</v>
      </c>
      <c r="D60" s="45">
        <f>SUM(ARPop+NMPop+OKPop+TXPop)</f>
        <v>31115390</v>
      </c>
      <c r="E60" s="49">
        <f t="shared" si="5"/>
        <v>0.19163081736409857</v>
      </c>
      <c r="F60" s="49">
        <f t="shared" si="6"/>
        <v>0.1049740143399285</v>
      </c>
      <c r="G60" s="47">
        <f t="shared" si="7"/>
        <v>15.747834110387174</v>
      </c>
      <c r="I60" s="40">
        <f>SUM(ARAPNum+NMAPNum+OKAPNum+TXAPNum)</f>
        <v>1869</v>
      </c>
      <c r="J60" s="49">
        <f t="shared" si="8"/>
        <v>0.13431548688465683</v>
      </c>
      <c r="K60" s="49">
        <f>14/APSIUS</f>
        <v>0.21875</v>
      </c>
      <c r="L60" s="49">
        <f t="shared" si="9"/>
        <v>0.26217228464419473</v>
      </c>
    </row>
    <row r="61" spans="1:12" ht="12.75">
      <c r="A61" s="42" t="s">
        <v>262</v>
      </c>
      <c r="B61" s="42" t="s">
        <v>245</v>
      </c>
      <c r="C61" s="40">
        <f>SUM(AKAPWHNum+AZAPWHNum+CAAPWHNum+COAPWHNum+HIAPWHNum+IDAPWHNum+MTAPWHNum+NVAPWHNum+ORAPWHNum+UTAPWHNum+WAAPWHNum+WYAPWHNum)</f>
        <v>485</v>
      </c>
      <c r="D61" s="45">
        <f>SUM(AKPop+AZPop+CAPop+COPop+HIPop+IDPop+MTPop+NVPop+ORPop+UTPop+WAPop+WYPop)</f>
        <v>66362738</v>
      </c>
      <c r="E61" s="49">
        <f t="shared" si="5"/>
        <v>0.18967540086038326</v>
      </c>
      <c r="F61" s="49">
        <f t="shared" si="6"/>
        <v>0.22388801845160602</v>
      </c>
      <c r="G61" s="47">
        <f t="shared" si="7"/>
        <v>7.3083181106843425</v>
      </c>
      <c r="I61" s="40">
        <f>SUM(AKAPNum+AZAPNum+CAAPNum+COAPNum+HIAPNum+IDAPNum+MTAPNum+NVAPNum+ORAPNum+UTAPNum+WAAPNum+WYAPNum)</f>
        <v>2545</v>
      </c>
      <c r="J61" s="49">
        <f t="shared" si="8"/>
        <v>0.18289615522817104</v>
      </c>
      <c r="K61" s="49">
        <f>16/APSIUS</f>
        <v>0.25</v>
      </c>
      <c r="L61" s="49">
        <f t="shared" si="9"/>
        <v>0.1905697445972495</v>
      </c>
    </row>
    <row r="62" spans="3:10" ht="12.75">
      <c r="C62" s="43">
        <f>SUM(C56:C61)</f>
        <v>2557</v>
      </c>
      <c r="D62" s="46">
        <f>SUM(D56:D61)</f>
        <v>296410404</v>
      </c>
      <c r="E62" s="48">
        <f>SUM(E56:E61)</f>
        <v>1</v>
      </c>
      <c r="F62" s="48">
        <f>SUM(F56:F61)</f>
        <v>1</v>
      </c>
      <c r="I62" s="46">
        <f>SUM(I56:I61)</f>
        <v>13915</v>
      </c>
      <c r="J62" s="48">
        <f t="shared" si="8"/>
        <v>1</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M16"/>
  <sheetViews>
    <sheetView workbookViewId="0" topLeftCell="A1">
      <selection activeCell="A6" sqref="A6:E8"/>
    </sheetView>
  </sheetViews>
  <sheetFormatPr defaultColWidth="9.00390625" defaultRowHeight="12"/>
  <cols>
    <col min="1" max="1" width="30.25390625" style="52" customWidth="1"/>
    <col min="2" max="10" width="12.75390625" style="52" customWidth="1"/>
    <col min="11" max="16384" width="9.125" style="52" customWidth="1"/>
  </cols>
  <sheetData>
    <row r="1" spans="1:2" ht="15.75">
      <c r="A1" s="52" t="s">
        <v>18</v>
      </c>
      <c r="B1" s="53"/>
    </row>
    <row r="2" ht="12.75">
      <c r="A2" s="52" t="s">
        <v>19</v>
      </c>
    </row>
    <row r="3" ht="12.75">
      <c r="A3" s="52" t="s">
        <v>20</v>
      </c>
    </row>
    <row r="4" spans="1:3" ht="12.75">
      <c r="A4" s="54" t="s">
        <v>21</v>
      </c>
      <c r="B4" s="55"/>
      <c r="C4" s="55"/>
    </row>
    <row r="5" ht="12.75">
      <c r="A5" s="54" t="s">
        <v>309</v>
      </c>
    </row>
    <row r="6" spans="1:5" ht="12.75">
      <c r="A6" s="54"/>
      <c r="B6" s="52">
        <v>2005</v>
      </c>
      <c r="C6" s="52">
        <v>2006</v>
      </c>
      <c r="D6" s="52">
        <v>2007</v>
      </c>
      <c r="E6" s="52">
        <v>2008</v>
      </c>
    </row>
    <row r="7" spans="1:5" ht="12.75">
      <c r="A7" s="63" t="s">
        <v>310</v>
      </c>
      <c r="B7" s="58">
        <v>28.8</v>
      </c>
      <c r="C7" s="58">
        <v>30.1</v>
      </c>
      <c r="D7" s="58">
        <v>29.5</v>
      </c>
      <c r="E7" s="58">
        <v>28.8</v>
      </c>
    </row>
    <row r="8" spans="1:13" ht="12.75">
      <c r="A8" s="57" t="s">
        <v>311</v>
      </c>
      <c r="B8" s="61">
        <v>21.9</v>
      </c>
      <c r="C8" s="62">
        <v>19.8</v>
      </c>
      <c r="D8" s="58">
        <v>16.2</v>
      </c>
      <c r="E8" s="58">
        <v>13</v>
      </c>
      <c r="I8" s="59"/>
      <c r="J8" s="55"/>
      <c r="K8" s="55"/>
      <c r="L8" s="55"/>
      <c r="M8" s="55"/>
    </row>
    <row r="9" spans="2:9" ht="12.75">
      <c r="B9" s="60"/>
      <c r="C9" s="60"/>
      <c r="I9" s="60"/>
    </row>
    <row r="10" spans="1:9" ht="12.75">
      <c r="A10" s="63" t="s">
        <v>312</v>
      </c>
      <c r="B10" s="61">
        <v>26.7</v>
      </c>
      <c r="C10" s="61">
        <v>29.6</v>
      </c>
      <c r="D10" s="58">
        <v>30.6</v>
      </c>
      <c r="E10" s="58"/>
      <c r="I10" s="60"/>
    </row>
    <row r="11" spans="1:13" ht="12.75">
      <c r="A11" s="56"/>
      <c r="B11" s="60"/>
      <c r="C11" s="61"/>
      <c r="D11" s="58"/>
      <c r="E11" s="55"/>
      <c r="F11" s="55"/>
      <c r="I11" s="59"/>
      <c r="J11" s="55"/>
      <c r="K11" s="55"/>
      <c r="L11" s="55"/>
      <c r="M11" s="55"/>
    </row>
    <row r="12" spans="4:6" ht="12.75">
      <c r="D12" s="58"/>
      <c r="E12" s="55"/>
      <c r="F12" s="55"/>
    </row>
    <row r="14" ht="12.75">
      <c r="C14" s="58"/>
    </row>
    <row r="16" ht="12.75">
      <c r="C16" s="58"/>
    </row>
  </sheetData>
  <hyperlinks>
    <hyperlink ref="A4" r:id="rId1" display="bstrickl@egrps.org"/>
    <hyperlink ref="A5" r:id="rId2" display="http://www.egrps.org/~BStrickl/apwh.html"/>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H34"/>
  <sheetViews>
    <sheetView workbookViewId="0" topLeftCell="A1">
      <selection activeCell="H15" sqref="H15:H19"/>
    </sheetView>
  </sheetViews>
  <sheetFormatPr defaultColWidth="9.00390625" defaultRowHeight="12"/>
  <cols>
    <col min="1" max="1" width="18.875" style="0" customWidth="1"/>
    <col min="2" max="2" width="11.375" style="0" customWidth="1"/>
    <col min="3" max="3" width="11.125" style="0" bestFit="1" customWidth="1"/>
    <col min="4" max="16384" width="11.375" style="0" customWidth="1"/>
  </cols>
  <sheetData>
    <row r="1" ht="12">
      <c r="A1" t="s">
        <v>18</v>
      </c>
    </row>
    <row r="2" ht="12">
      <c r="A2" t="s">
        <v>19</v>
      </c>
    </row>
    <row r="3" ht="12">
      <c r="A3" t="s">
        <v>20</v>
      </c>
    </row>
    <row r="4" spans="1:4" ht="12">
      <c r="A4" t="s">
        <v>21</v>
      </c>
      <c r="D4" s="29"/>
    </row>
    <row r="6" spans="1:4" ht="12">
      <c r="A6" t="s">
        <v>145</v>
      </c>
      <c r="D6" t="s">
        <v>146</v>
      </c>
    </row>
    <row r="7" spans="2:8" ht="12">
      <c r="B7">
        <v>2002</v>
      </c>
      <c r="C7">
        <v>2003</v>
      </c>
      <c r="D7">
        <v>2004</v>
      </c>
      <c r="E7">
        <v>2005</v>
      </c>
      <c r="F7">
        <v>2006</v>
      </c>
      <c r="G7">
        <v>2007</v>
      </c>
      <c r="H7">
        <v>2008</v>
      </c>
    </row>
    <row r="8" spans="1:8" ht="12">
      <c r="A8">
        <v>5</v>
      </c>
      <c r="B8" s="29">
        <v>2221</v>
      </c>
      <c r="C8" s="29">
        <v>3909</v>
      </c>
      <c r="D8" s="29">
        <v>5199</v>
      </c>
      <c r="E8" s="29">
        <v>6577</v>
      </c>
      <c r="F8" s="29">
        <v>8728</v>
      </c>
      <c r="G8" s="29">
        <v>11461</v>
      </c>
      <c r="H8" s="29">
        <v>11072</v>
      </c>
    </row>
    <row r="9" spans="1:8" ht="12">
      <c r="A9">
        <v>4</v>
      </c>
      <c r="B9" s="29">
        <v>3690</v>
      </c>
      <c r="C9" s="29">
        <v>6480</v>
      </c>
      <c r="D9" s="29">
        <v>7663</v>
      </c>
      <c r="E9" s="29">
        <v>10957</v>
      </c>
      <c r="F9" s="29">
        <v>12808</v>
      </c>
      <c r="G9" s="29">
        <v>17183</v>
      </c>
      <c r="H9" s="29">
        <v>20097</v>
      </c>
    </row>
    <row r="10" spans="1:8" ht="12">
      <c r="A10">
        <v>3</v>
      </c>
      <c r="B10" s="29">
        <v>6056</v>
      </c>
      <c r="C10" s="29">
        <v>8880</v>
      </c>
      <c r="D10" s="29">
        <v>13231</v>
      </c>
      <c r="E10" s="29">
        <v>16212</v>
      </c>
      <c r="F10" s="29">
        <v>21354</v>
      </c>
      <c r="G10" s="29">
        <v>26616</v>
      </c>
      <c r="H10" s="29">
        <v>29215</v>
      </c>
    </row>
    <row r="11" spans="1:8" ht="12">
      <c r="A11">
        <v>2</v>
      </c>
      <c r="B11" s="29">
        <v>5134</v>
      </c>
      <c r="C11" s="29">
        <v>8126</v>
      </c>
      <c r="D11" s="29">
        <v>11021</v>
      </c>
      <c r="E11" s="29">
        <v>15021</v>
      </c>
      <c r="F11" s="29">
        <v>20532</v>
      </c>
      <c r="G11" s="29">
        <v>24773</v>
      </c>
      <c r="H11" s="29">
        <v>32036</v>
      </c>
    </row>
    <row r="12" spans="1:8" ht="12">
      <c r="A12">
        <v>1</v>
      </c>
      <c r="B12" s="29">
        <v>3856</v>
      </c>
      <c r="C12" s="29">
        <v>6891</v>
      </c>
      <c r="D12" s="29">
        <v>10444</v>
      </c>
      <c r="E12" s="29">
        <v>15440</v>
      </c>
      <c r="F12" s="29">
        <v>20721</v>
      </c>
      <c r="G12" s="29">
        <v>21942</v>
      </c>
      <c r="H12" s="29">
        <v>32218</v>
      </c>
    </row>
    <row r="15" spans="1:8" ht="12">
      <c r="A15" s="9">
        <v>5</v>
      </c>
      <c r="B15" s="23">
        <v>0.106</v>
      </c>
      <c r="C15" s="23">
        <v>0.114</v>
      </c>
      <c r="D15" s="23">
        <v>0.109</v>
      </c>
      <c r="E15" s="23">
        <v>0.102</v>
      </c>
      <c r="F15" s="23">
        <v>0.104</v>
      </c>
      <c r="G15" s="23">
        <v>0.112</v>
      </c>
      <c r="H15" s="23">
        <f>H8/H$21</f>
        <v>0.08883326112421573</v>
      </c>
    </row>
    <row r="16" spans="1:8" ht="12">
      <c r="A16" s="9">
        <v>4</v>
      </c>
      <c r="B16" s="23">
        <v>0.1761</v>
      </c>
      <c r="C16" s="23">
        <v>0.189</v>
      </c>
      <c r="D16" s="23">
        <v>0.161</v>
      </c>
      <c r="E16" s="23">
        <v>0.171</v>
      </c>
      <c r="F16" s="23">
        <v>0.152</v>
      </c>
      <c r="G16" s="23">
        <v>0.169</v>
      </c>
      <c r="H16" s="23">
        <f>H9/H$21</f>
        <v>0.16124295961103355</v>
      </c>
    </row>
    <row r="17" spans="1:8" ht="12">
      <c r="A17" s="9">
        <v>3</v>
      </c>
      <c r="B17" s="23">
        <v>0.289</v>
      </c>
      <c r="C17" s="23">
        <v>0.259</v>
      </c>
      <c r="D17" s="23">
        <v>0.278</v>
      </c>
      <c r="E17" s="23">
        <v>0.252</v>
      </c>
      <c r="F17" s="23">
        <v>0.254</v>
      </c>
      <c r="G17" s="23">
        <v>0.261</v>
      </c>
      <c r="H17" s="23">
        <f>H10/H$21</f>
        <v>0.2343988189797654</v>
      </c>
    </row>
    <row r="18" spans="1:8" ht="12">
      <c r="A18" s="9">
        <v>2</v>
      </c>
      <c r="B18" s="23">
        <v>0.245</v>
      </c>
      <c r="C18" s="23">
        <v>0.237</v>
      </c>
      <c r="D18" s="23">
        <v>0.232</v>
      </c>
      <c r="E18" s="23">
        <v>0.234</v>
      </c>
      <c r="F18" s="23">
        <v>0.244</v>
      </c>
      <c r="G18" s="23">
        <v>0.243</v>
      </c>
      <c r="H18" s="23">
        <f>H11/H$21</f>
        <v>0.25703236573115745</v>
      </c>
    </row>
    <row r="19" spans="1:8" ht="12">
      <c r="A19" s="9">
        <v>1</v>
      </c>
      <c r="B19" s="23">
        <v>0.184</v>
      </c>
      <c r="C19" s="23">
        <v>0.201</v>
      </c>
      <c r="D19" s="23">
        <v>0.22</v>
      </c>
      <c r="E19" s="23">
        <v>0.24</v>
      </c>
      <c r="F19" s="23">
        <v>0.246</v>
      </c>
      <c r="G19" s="23">
        <v>0.215</v>
      </c>
      <c r="H19" s="23">
        <f>H12/H$21</f>
        <v>0.2584925945538279</v>
      </c>
    </row>
    <row r="21" spans="1:8" ht="12">
      <c r="A21" t="s">
        <v>147</v>
      </c>
      <c r="B21" s="29">
        <v>20955</v>
      </c>
      <c r="C21" s="29">
        <v>34286</v>
      </c>
      <c r="D21" s="29">
        <v>47558</v>
      </c>
      <c r="E21" s="29">
        <v>64207</v>
      </c>
      <c r="F21" s="29">
        <v>84143</v>
      </c>
      <c r="G21" s="29">
        <v>101975</v>
      </c>
      <c r="H21" s="29">
        <v>124638</v>
      </c>
    </row>
    <row r="22" spans="1:8" ht="12">
      <c r="A22" t="s">
        <v>148</v>
      </c>
      <c r="B22" s="29">
        <v>11967</v>
      </c>
      <c r="C22" s="29">
        <v>19269</v>
      </c>
      <c r="D22" s="29">
        <v>26093</v>
      </c>
      <c r="E22" s="29">
        <v>33746</v>
      </c>
      <c r="F22">
        <v>42890</v>
      </c>
      <c r="G22">
        <v>55260</v>
      </c>
      <c r="H22" s="29">
        <f>SUM(H8:H10)</f>
        <v>60384</v>
      </c>
    </row>
    <row r="23" spans="1:8" ht="12">
      <c r="A23" t="s">
        <v>149</v>
      </c>
      <c r="B23" s="23">
        <v>0.571</v>
      </c>
      <c r="C23" s="23">
        <v>0.562</v>
      </c>
      <c r="D23" s="23">
        <v>0.549</v>
      </c>
      <c r="E23" s="23">
        <f>E22/E21</f>
        <v>0.5255813229087171</v>
      </c>
      <c r="F23" s="23">
        <v>0.51</v>
      </c>
      <c r="G23" s="23">
        <v>0.542</v>
      </c>
      <c r="H23" s="23">
        <f>SUM(H15:H17)</f>
        <v>0.48447503971501465</v>
      </c>
    </row>
    <row r="24" spans="1:8" ht="12">
      <c r="A24" t="s">
        <v>150</v>
      </c>
      <c r="B24">
        <v>2.94</v>
      </c>
      <c r="C24">
        <v>2.78</v>
      </c>
      <c r="D24">
        <v>2.71</v>
      </c>
      <c r="E24">
        <v>2.66</v>
      </c>
      <c r="F24">
        <v>2.62</v>
      </c>
      <c r="G24">
        <v>2.71</v>
      </c>
      <c r="H24" s="4">
        <f>((H8*$A8)+(H9*$A9)+(H10*$A10)+(H11*$A11)+(H12*$A12))/H21</f>
        <v>2.5648919270206516</v>
      </c>
    </row>
    <row r="25" spans="1:8" ht="12">
      <c r="A25" t="s">
        <v>151</v>
      </c>
      <c r="B25">
        <v>1.19</v>
      </c>
      <c r="C25">
        <v>1.28</v>
      </c>
      <c r="D25">
        <v>1.27</v>
      </c>
      <c r="E25">
        <v>1.29</v>
      </c>
      <c r="F25">
        <v>1.29</v>
      </c>
      <c r="G25">
        <v>1.28</v>
      </c>
      <c r="H25">
        <v>1.27</v>
      </c>
    </row>
    <row r="27" spans="1:8" ht="12">
      <c r="A27" t="s">
        <v>152</v>
      </c>
      <c r="C27" s="6">
        <f aca="true" t="shared" si="0" ref="C27:H27">(C21-B21)/B21</f>
        <v>0.636172751133381</v>
      </c>
      <c r="D27" s="6">
        <f t="shared" si="0"/>
        <v>0.3870967741935484</v>
      </c>
      <c r="E27" s="6">
        <f t="shared" si="0"/>
        <v>0.3500777997392657</v>
      </c>
      <c r="F27" s="6">
        <f t="shared" si="0"/>
        <v>0.31049574033983834</v>
      </c>
      <c r="G27" s="6">
        <f t="shared" si="0"/>
        <v>0.21192493730910475</v>
      </c>
      <c r="H27" s="6">
        <f t="shared" si="0"/>
        <v>0.22224074528070606</v>
      </c>
    </row>
    <row r="28" spans="1:8" ht="12">
      <c r="A28" t="s">
        <v>153</v>
      </c>
      <c r="C28" s="29">
        <f aca="true" t="shared" si="1" ref="C28:H28">C21-B21</f>
        <v>13331</v>
      </c>
      <c r="D28" s="29">
        <f t="shared" si="1"/>
        <v>13272</v>
      </c>
      <c r="E28" s="29">
        <f t="shared" si="1"/>
        <v>16649</v>
      </c>
      <c r="F28" s="29">
        <f t="shared" si="1"/>
        <v>19936</v>
      </c>
      <c r="G28" s="29">
        <f t="shared" si="1"/>
        <v>17832</v>
      </c>
      <c r="H28" s="29">
        <f t="shared" si="1"/>
        <v>22663</v>
      </c>
    </row>
    <row r="31" spans="1:7" ht="12">
      <c r="A31" t="s">
        <v>154</v>
      </c>
      <c r="B31">
        <v>93</v>
      </c>
      <c r="C31">
        <v>162</v>
      </c>
      <c r="D31">
        <v>243</v>
      </c>
      <c r="E31">
        <v>305</v>
      </c>
      <c r="F31">
        <v>435</v>
      </c>
      <c r="G31">
        <v>569</v>
      </c>
    </row>
    <row r="32" spans="1:7" ht="12">
      <c r="A32" t="s">
        <v>155</v>
      </c>
      <c r="B32" s="9">
        <f aca="true" t="shared" si="2" ref="B32:G32">(B21/B31)*3</f>
        <v>675.9677419354839</v>
      </c>
      <c r="C32" s="9">
        <f t="shared" si="2"/>
        <v>634.9259259259259</v>
      </c>
      <c r="D32" s="9">
        <f t="shared" si="2"/>
        <v>587.1358024691358</v>
      </c>
      <c r="E32" s="9">
        <f t="shared" si="2"/>
        <v>631.544262295082</v>
      </c>
      <c r="F32" s="9">
        <f t="shared" si="2"/>
        <v>580.2965517241379</v>
      </c>
      <c r="G32" s="9">
        <f t="shared" si="2"/>
        <v>537.6537785588753</v>
      </c>
    </row>
    <row r="33" spans="1:7" ht="12">
      <c r="A33" t="s">
        <v>307</v>
      </c>
      <c r="B33" s="29"/>
      <c r="C33" s="29"/>
      <c r="D33" s="29"/>
      <c r="E33" s="29">
        <v>2380</v>
      </c>
      <c r="F33" s="29">
        <v>2849</v>
      </c>
      <c r="G33" s="29">
        <v>3329</v>
      </c>
    </row>
    <row r="34" spans="1:7" ht="12">
      <c r="A34" t="s">
        <v>308</v>
      </c>
      <c r="E34">
        <v>26.7</v>
      </c>
      <c r="F34">
        <v>29.6</v>
      </c>
      <c r="G34">
        <v>30.6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78"/>
  <sheetViews>
    <sheetView workbookViewId="0" topLeftCell="A1">
      <pane ySplit="480" topLeftCell="BM1" activePane="bottomLeft" state="split"/>
      <selection pane="topLeft" activeCell="J1" sqref="J1"/>
      <selection pane="bottomLeft" activeCell="B1" sqref="B1"/>
    </sheetView>
  </sheetViews>
  <sheetFormatPr defaultColWidth="9.00390625" defaultRowHeight="12"/>
  <cols>
    <col min="1" max="1" width="10.75390625" style="3" customWidth="1"/>
    <col min="2" max="8" width="10.75390625" style="0" customWidth="1"/>
    <col min="12" max="16" width="12.75390625" style="0" customWidth="1"/>
  </cols>
  <sheetData>
    <row r="1" spans="1:17" ht="12">
      <c r="A1" s="3" t="s">
        <v>18</v>
      </c>
      <c r="J1" s="3" t="s">
        <v>7</v>
      </c>
      <c r="K1" t="s">
        <v>8</v>
      </c>
      <c r="L1" t="s">
        <v>9</v>
      </c>
      <c r="M1" s="10" t="s">
        <v>59</v>
      </c>
      <c r="N1" s="10" t="s">
        <v>55</v>
      </c>
      <c r="O1" s="10" t="s">
        <v>56</v>
      </c>
      <c r="P1" s="10" t="s">
        <v>57</v>
      </c>
      <c r="Q1" t="s">
        <v>58</v>
      </c>
    </row>
    <row r="2" spans="1:17" ht="18">
      <c r="A2" s="3" t="s">
        <v>19</v>
      </c>
      <c r="C2" t="s">
        <v>25</v>
      </c>
      <c r="D2" s="14">
        <f>60/69</f>
        <v>0.8695652173913043</v>
      </c>
      <c r="E2" t="s">
        <v>68</v>
      </c>
      <c r="G2" s="14">
        <f>60/70</f>
        <v>0.8571428571428571</v>
      </c>
      <c r="J2" s="3">
        <v>0</v>
      </c>
      <c r="K2" s="6">
        <f>J2/70</f>
        <v>0</v>
      </c>
      <c r="L2" s="4">
        <f>J2-1/4*(70-J2)</f>
        <v>-17.5</v>
      </c>
      <c r="M2" s="11">
        <v>0</v>
      </c>
      <c r="N2" s="13">
        <f>(Min2-$M2)/Essay_Weight</f>
        <v>12.150121501215013</v>
      </c>
      <c r="O2" s="13">
        <f>(Min3-$M2)/Essay_Weight</f>
        <v>19.35019350193502</v>
      </c>
      <c r="P2" s="13">
        <f>(Min4-$M2)/Essay_Weight</f>
        <v>27.90027900279003</v>
      </c>
      <c r="Q2" s="13">
        <f>(Min5-$M2)/Essay_Weight</f>
        <v>35.100351003510035</v>
      </c>
    </row>
    <row r="3" spans="1:17" ht="12">
      <c r="A3" s="3" t="s">
        <v>20</v>
      </c>
      <c r="J3" s="3">
        <v>1</v>
      </c>
      <c r="K3" s="6">
        <f aca="true" t="shared" si="0" ref="K3:K66">J3/70</f>
        <v>0.014285714285714285</v>
      </c>
      <c r="L3" s="4">
        <f aca="true" t="shared" si="1" ref="L3:L66">J3-1/4*(70-J3)</f>
        <v>-16.25</v>
      </c>
      <c r="M3" s="11">
        <v>0</v>
      </c>
      <c r="N3" s="13">
        <f aca="true" t="shared" si="2" ref="N3:N66">(Min2-$M3)/Essay_Weight</f>
        <v>12.150121501215013</v>
      </c>
      <c r="O3" s="13">
        <f aca="true" t="shared" si="3" ref="O3:O66">(Min3-$M3)/Essay_Weight</f>
        <v>19.35019350193502</v>
      </c>
      <c r="P3" s="13">
        <f aca="true" t="shared" si="4" ref="P3:P66">(Min4-$M3)/Essay_Weight</f>
        <v>27.90027900279003</v>
      </c>
      <c r="Q3" s="13">
        <f aca="true" t="shared" si="5" ref="Q3:Q66">(Min5-$M3)/Essay_Weight</f>
        <v>35.100351003510035</v>
      </c>
    </row>
    <row r="4" spans="1:17" ht="12">
      <c r="A4" s="3" t="s">
        <v>21</v>
      </c>
      <c r="D4" s="15"/>
      <c r="J4" s="3">
        <v>2</v>
      </c>
      <c r="K4" s="6">
        <f t="shared" si="0"/>
        <v>0.02857142857142857</v>
      </c>
      <c r="L4" s="4">
        <f t="shared" si="1"/>
        <v>-15</v>
      </c>
      <c r="M4" s="11">
        <v>0</v>
      </c>
      <c r="N4" s="13">
        <f t="shared" si="2"/>
        <v>12.150121501215013</v>
      </c>
      <c r="O4" s="13">
        <f t="shared" si="3"/>
        <v>19.35019350193502</v>
      </c>
      <c r="P4" s="13">
        <f t="shared" si="4"/>
        <v>27.90027900279003</v>
      </c>
      <c r="Q4" s="13">
        <f t="shared" si="5"/>
        <v>35.100351003510035</v>
      </c>
    </row>
    <row r="5" spans="5:17" ht="18">
      <c r="E5" s="12" t="s">
        <v>26</v>
      </c>
      <c r="J5" s="3">
        <v>3</v>
      </c>
      <c r="K5" s="6">
        <f t="shared" si="0"/>
        <v>0.04285714285714286</v>
      </c>
      <c r="L5" s="4">
        <f t="shared" si="1"/>
        <v>-13.75</v>
      </c>
      <c r="M5" s="11">
        <v>0</v>
      </c>
      <c r="N5" s="13">
        <f t="shared" si="2"/>
        <v>12.150121501215013</v>
      </c>
      <c r="O5" s="13">
        <f t="shared" si="3"/>
        <v>19.35019350193502</v>
      </c>
      <c r="P5" s="13">
        <f t="shared" si="4"/>
        <v>27.90027900279003</v>
      </c>
      <c r="Q5" s="13">
        <f t="shared" si="5"/>
        <v>35.100351003510035</v>
      </c>
    </row>
    <row r="6" spans="2:17" ht="12">
      <c r="B6" s="8">
        <v>0.13</v>
      </c>
      <c r="C6" s="8">
        <v>0.28</v>
      </c>
      <c r="D6" s="8">
        <v>0.29</v>
      </c>
      <c r="E6" s="8">
        <v>0.21</v>
      </c>
      <c r="F6" s="8">
        <v>0.08</v>
      </c>
      <c r="G6" s="8">
        <v>0.01</v>
      </c>
      <c r="H6" s="8">
        <v>1</v>
      </c>
      <c r="J6" s="3">
        <v>4</v>
      </c>
      <c r="K6" s="6">
        <f t="shared" si="0"/>
        <v>0.05714285714285714</v>
      </c>
      <c r="L6" s="4">
        <f t="shared" si="1"/>
        <v>-12.5</v>
      </c>
      <c r="M6" s="11">
        <v>0</v>
      </c>
      <c r="N6" s="13">
        <f t="shared" si="2"/>
        <v>12.150121501215013</v>
      </c>
      <c r="O6" s="13">
        <f t="shared" si="3"/>
        <v>19.35019350193502</v>
      </c>
      <c r="P6" s="13">
        <f t="shared" si="4"/>
        <v>27.90027900279003</v>
      </c>
      <c r="Q6" s="13">
        <f t="shared" si="5"/>
        <v>35.100351003510035</v>
      </c>
    </row>
    <row r="7" spans="2:17" ht="12">
      <c r="B7" s="1" t="s">
        <v>4</v>
      </c>
      <c r="C7" s="7" t="s">
        <v>6</v>
      </c>
      <c r="D7" s="2" t="s">
        <v>3</v>
      </c>
      <c r="E7" s="2" t="s">
        <v>2</v>
      </c>
      <c r="F7" s="2" t="s">
        <v>1</v>
      </c>
      <c r="G7" s="2" t="s">
        <v>0</v>
      </c>
      <c r="H7" s="2" t="s">
        <v>5</v>
      </c>
      <c r="J7" s="3">
        <v>5</v>
      </c>
      <c r="K7" s="6">
        <f t="shared" si="0"/>
        <v>0.07142857142857142</v>
      </c>
      <c r="L7" s="4">
        <f t="shared" si="1"/>
        <v>-11.25</v>
      </c>
      <c r="M7" s="11">
        <v>0</v>
      </c>
      <c r="N7" s="13">
        <f t="shared" si="2"/>
        <v>12.150121501215013</v>
      </c>
      <c r="O7" s="13">
        <f t="shared" si="3"/>
        <v>19.35019350193502</v>
      </c>
      <c r="P7" s="13">
        <f t="shared" si="4"/>
        <v>27.90027900279003</v>
      </c>
      <c r="Q7" s="13">
        <f t="shared" si="5"/>
        <v>35.100351003510035</v>
      </c>
    </row>
    <row r="8" spans="1:17" ht="12">
      <c r="A8" s="3">
        <v>1</v>
      </c>
      <c r="B8">
        <v>86</v>
      </c>
      <c r="C8">
        <v>25</v>
      </c>
      <c r="D8">
        <v>1</v>
      </c>
      <c r="E8">
        <v>0</v>
      </c>
      <c r="F8">
        <v>0</v>
      </c>
      <c r="G8">
        <v>0</v>
      </c>
      <c r="H8">
        <v>18</v>
      </c>
      <c r="J8" s="3">
        <v>6</v>
      </c>
      <c r="K8" s="6">
        <f t="shared" si="0"/>
        <v>0.08571428571428572</v>
      </c>
      <c r="L8" s="4">
        <f t="shared" si="1"/>
        <v>-10</v>
      </c>
      <c r="M8" s="11">
        <v>0</v>
      </c>
      <c r="N8" s="13">
        <f t="shared" si="2"/>
        <v>12.150121501215013</v>
      </c>
      <c r="O8" s="13">
        <f t="shared" si="3"/>
        <v>19.35019350193502</v>
      </c>
      <c r="P8" s="13">
        <f t="shared" si="4"/>
        <v>27.90027900279003</v>
      </c>
      <c r="Q8" s="13">
        <f t="shared" si="5"/>
        <v>35.100351003510035</v>
      </c>
    </row>
    <row r="9" spans="1:17" ht="12">
      <c r="A9" s="3">
        <v>2</v>
      </c>
      <c r="B9">
        <v>14</v>
      </c>
      <c r="C9">
        <v>59</v>
      </c>
      <c r="D9">
        <v>21</v>
      </c>
      <c r="E9">
        <v>1</v>
      </c>
      <c r="F9">
        <v>0</v>
      </c>
      <c r="G9">
        <v>0</v>
      </c>
      <c r="H9">
        <v>25</v>
      </c>
      <c r="J9" s="3">
        <v>7</v>
      </c>
      <c r="K9" s="6">
        <f t="shared" si="0"/>
        <v>0.1</v>
      </c>
      <c r="L9" s="4">
        <f t="shared" si="1"/>
        <v>-8.75</v>
      </c>
      <c r="M9" s="11">
        <v>0</v>
      </c>
      <c r="N9" s="13">
        <f t="shared" si="2"/>
        <v>12.150121501215013</v>
      </c>
      <c r="O9" s="13">
        <f t="shared" si="3"/>
        <v>19.35019350193502</v>
      </c>
      <c r="P9" s="13">
        <f t="shared" si="4"/>
        <v>27.90027900279003</v>
      </c>
      <c r="Q9" s="13">
        <f t="shared" si="5"/>
        <v>35.100351003510035</v>
      </c>
    </row>
    <row r="10" spans="1:17" ht="12">
      <c r="A10" s="3">
        <v>3</v>
      </c>
      <c r="B10">
        <v>0</v>
      </c>
      <c r="C10">
        <v>16</v>
      </c>
      <c r="D10">
        <v>64</v>
      </c>
      <c r="E10">
        <v>28</v>
      </c>
      <c r="F10">
        <v>2</v>
      </c>
      <c r="G10">
        <v>0</v>
      </c>
      <c r="H10">
        <v>29</v>
      </c>
      <c r="J10" s="3">
        <v>8</v>
      </c>
      <c r="K10" s="6">
        <f t="shared" si="0"/>
        <v>0.11428571428571428</v>
      </c>
      <c r="L10" s="4">
        <f t="shared" si="1"/>
        <v>-7.5</v>
      </c>
      <c r="M10" s="11">
        <v>0</v>
      </c>
      <c r="N10" s="13">
        <f t="shared" si="2"/>
        <v>12.150121501215013</v>
      </c>
      <c r="O10" s="13">
        <f t="shared" si="3"/>
        <v>19.35019350193502</v>
      </c>
      <c r="P10" s="13">
        <f t="shared" si="4"/>
        <v>27.90027900279003</v>
      </c>
      <c r="Q10" s="13">
        <f t="shared" si="5"/>
        <v>35.100351003510035</v>
      </c>
    </row>
    <row r="11" spans="1:17" ht="12">
      <c r="A11" s="3">
        <v>4</v>
      </c>
      <c r="B11">
        <v>0</v>
      </c>
      <c r="C11">
        <v>0</v>
      </c>
      <c r="D11">
        <v>13</v>
      </c>
      <c r="E11">
        <v>55</v>
      </c>
      <c r="F11">
        <v>27</v>
      </c>
      <c r="G11">
        <v>3</v>
      </c>
      <c r="H11">
        <v>18</v>
      </c>
      <c r="J11" s="3">
        <v>9</v>
      </c>
      <c r="K11" s="6">
        <f t="shared" si="0"/>
        <v>0.12857142857142856</v>
      </c>
      <c r="L11" s="4">
        <f t="shared" si="1"/>
        <v>-6.25</v>
      </c>
      <c r="M11" s="11">
        <v>0</v>
      </c>
      <c r="N11" s="13">
        <f t="shared" si="2"/>
        <v>12.150121501215013</v>
      </c>
      <c r="O11" s="13">
        <f t="shared" si="3"/>
        <v>19.35019350193502</v>
      </c>
      <c r="P11" s="13">
        <f t="shared" si="4"/>
        <v>27.90027900279003</v>
      </c>
      <c r="Q11" s="13">
        <f t="shared" si="5"/>
        <v>35.100351003510035</v>
      </c>
    </row>
    <row r="12" spans="1:17" ht="12">
      <c r="A12" s="3">
        <v>5</v>
      </c>
      <c r="B12">
        <v>0</v>
      </c>
      <c r="C12">
        <v>0</v>
      </c>
      <c r="D12">
        <v>1</v>
      </c>
      <c r="E12">
        <v>16</v>
      </c>
      <c r="F12">
        <v>71</v>
      </c>
      <c r="G12">
        <v>97</v>
      </c>
      <c r="H12">
        <v>10</v>
      </c>
      <c r="J12" s="3">
        <v>10</v>
      </c>
      <c r="K12" s="6">
        <f t="shared" si="0"/>
        <v>0.14285714285714285</v>
      </c>
      <c r="L12" s="4">
        <f t="shared" si="1"/>
        <v>-5</v>
      </c>
      <c r="M12" s="11">
        <v>0</v>
      </c>
      <c r="N12" s="13">
        <f t="shared" si="2"/>
        <v>12.150121501215013</v>
      </c>
      <c r="O12" s="13">
        <f t="shared" si="3"/>
        <v>19.35019350193502</v>
      </c>
      <c r="P12" s="13">
        <f t="shared" si="4"/>
        <v>27.90027900279003</v>
      </c>
      <c r="Q12" s="13">
        <f t="shared" si="5"/>
        <v>35.100351003510035</v>
      </c>
    </row>
    <row r="13" spans="10:17" ht="12">
      <c r="J13" s="3">
        <v>11</v>
      </c>
      <c r="K13" s="6">
        <f t="shared" si="0"/>
        <v>0.15714285714285714</v>
      </c>
      <c r="L13" s="4">
        <f t="shared" si="1"/>
        <v>-3.75</v>
      </c>
      <c r="M13" s="11">
        <v>0</v>
      </c>
      <c r="N13" s="13">
        <f t="shared" si="2"/>
        <v>12.150121501215013</v>
      </c>
      <c r="O13" s="13">
        <f t="shared" si="3"/>
        <v>19.35019350193502</v>
      </c>
      <c r="P13" s="13">
        <f t="shared" si="4"/>
        <v>27.90027900279003</v>
      </c>
      <c r="Q13" s="13">
        <f t="shared" si="5"/>
        <v>35.100351003510035</v>
      </c>
    </row>
    <row r="14" spans="2:17" ht="18">
      <c r="B14" s="3"/>
      <c r="C14" s="3"/>
      <c r="D14" s="3"/>
      <c r="E14" s="12" t="s">
        <v>23</v>
      </c>
      <c r="F14" s="3"/>
      <c r="G14" s="3"/>
      <c r="H14" s="3"/>
      <c r="J14" s="3">
        <v>12</v>
      </c>
      <c r="K14" s="6">
        <f t="shared" si="0"/>
        <v>0.17142857142857143</v>
      </c>
      <c r="L14" s="4">
        <f t="shared" si="1"/>
        <v>-2.5</v>
      </c>
      <c r="M14" s="11">
        <v>0</v>
      </c>
      <c r="N14" s="13">
        <f t="shared" si="2"/>
        <v>12.150121501215013</v>
      </c>
      <c r="O14" s="13">
        <f t="shared" si="3"/>
        <v>19.35019350193502</v>
      </c>
      <c r="P14" s="13">
        <f t="shared" si="4"/>
        <v>27.90027900279003</v>
      </c>
      <c r="Q14" s="13">
        <f t="shared" si="5"/>
        <v>35.100351003510035</v>
      </c>
    </row>
    <row r="15" spans="2:17" ht="12">
      <c r="B15" s="8">
        <v>0.13</v>
      </c>
      <c r="C15" s="8">
        <v>0.28</v>
      </c>
      <c r="D15" s="8">
        <v>0.29</v>
      </c>
      <c r="E15" s="8">
        <v>0.21</v>
      </c>
      <c r="F15" s="8">
        <v>0.08</v>
      </c>
      <c r="G15" s="8">
        <v>0.01</v>
      </c>
      <c r="H15" s="8">
        <v>1</v>
      </c>
      <c r="J15" s="3">
        <v>13</v>
      </c>
      <c r="K15" s="6">
        <f t="shared" si="0"/>
        <v>0.18571428571428572</v>
      </c>
      <c r="L15" s="4">
        <f t="shared" si="1"/>
        <v>-1.25</v>
      </c>
      <c r="M15" s="11">
        <v>0</v>
      </c>
      <c r="N15" s="13">
        <f t="shared" si="2"/>
        <v>12.150121501215013</v>
      </c>
      <c r="O15" s="13">
        <f t="shared" si="3"/>
        <v>19.35019350193502</v>
      </c>
      <c r="P15" s="13">
        <f t="shared" si="4"/>
        <v>27.90027900279003</v>
      </c>
      <c r="Q15" s="13">
        <f t="shared" si="5"/>
        <v>35.100351003510035</v>
      </c>
    </row>
    <row r="16" spans="2:17" ht="12">
      <c r="B16" s="2" t="s">
        <v>27</v>
      </c>
      <c r="C16" s="2" t="s">
        <v>28</v>
      </c>
      <c r="D16" s="2" t="s">
        <v>29</v>
      </c>
      <c r="E16" s="2" t="s">
        <v>30</v>
      </c>
      <c r="F16" s="2" t="s">
        <v>31</v>
      </c>
      <c r="G16" s="2" t="s">
        <v>32</v>
      </c>
      <c r="H16" s="2" t="s">
        <v>5</v>
      </c>
      <c r="J16" s="3">
        <v>14</v>
      </c>
      <c r="K16" s="6">
        <f t="shared" si="0"/>
        <v>0.2</v>
      </c>
      <c r="L16" s="4">
        <f t="shared" si="1"/>
        <v>0</v>
      </c>
      <c r="M16" s="11">
        <f>L16*Multiplier</f>
        <v>0</v>
      </c>
      <c r="N16" s="13">
        <f t="shared" si="2"/>
        <v>12.150121501215013</v>
      </c>
      <c r="O16" s="13">
        <f t="shared" si="3"/>
        <v>19.35019350193502</v>
      </c>
      <c r="P16" s="13">
        <f t="shared" si="4"/>
        <v>27.90027900279003</v>
      </c>
      <c r="Q16" s="13">
        <f t="shared" si="5"/>
        <v>35.100351003510035</v>
      </c>
    </row>
    <row r="17" spans="1:17" ht="12">
      <c r="A17" s="3">
        <v>1</v>
      </c>
      <c r="B17">
        <v>86</v>
      </c>
      <c r="C17">
        <v>25</v>
      </c>
      <c r="D17">
        <v>1</v>
      </c>
      <c r="E17">
        <v>0</v>
      </c>
      <c r="F17">
        <v>0</v>
      </c>
      <c r="G17">
        <v>0</v>
      </c>
      <c r="H17">
        <v>18</v>
      </c>
      <c r="J17" s="3">
        <v>15</v>
      </c>
      <c r="K17" s="6">
        <f t="shared" si="0"/>
        <v>0.21428571428571427</v>
      </c>
      <c r="L17" s="4">
        <f t="shared" si="1"/>
        <v>1.25</v>
      </c>
      <c r="M17" s="11">
        <f>L17*Generic_MC_Weight</f>
        <v>1.0714285714285714</v>
      </c>
      <c r="N17" s="13">
        <f t="shared" si="2"/>
        <v>11.667973822595368</v>
      </c>
      <c r="O17" s="13">
        <f t="shared" si="3"/>
        <v>18.868045823315377</v>
      </c>
      <c r="P17" s="13">
        <f t="shared" si="4"/>
        <v>27.418131324170385</v>
      </c>
      <c r="Q17" s="13">
        <f t="shared" si="5"/>
        <v>34.618203324890395</v>
      </c>
    </row>
    <row r="18" spans="1:17" ht="12">
      <c r="A18" s="3">
        <v>2</v>
      </c>
      <c r="B18">
        <v>14</v>
      </c>
      <c r="C18">
        <v>59</v>
      </c>
      <c r="D18">
        <v>21</v>
      </c>
      <c r="E18">
        <v>1</v>
      </c>
      <c r="F18">
        <v>0</v>
      </c>
      <c r="G18">
        <v>0</v>
      </c>
      <c r="H18">
        <v>25</v>
      </c>
      <c r="J18" s="3">
        <v>16</v>
      </c>
      <c r="K18" s="6">
        <f t="shared" si="0"/>
        <v>0.22857142857142856</v>
      </c>
      <c r="L18" s="4">
        <f t="shared" si="1"/>
        <v>2.5</v>
      </c>
      <c r="M18" s="11">
        <f aca="true" t="shared" si="6" ref="M18:M72">L18*Generic_MC_Weight</f>
        <v>2.142857142857143</v>
      </c>
      <c r="N18" s="13">
        <f t="shared" si="2"/>
        <v>11.185826143975726</v>
      </c>
      <c r="O18" s="13">
        <f t="shared" si="3"/>
        <v>18.38589814469573</v>
      </c>
      <c r="P18" s="13">
        <f t="shared" si="4"/>
        <v>26.935983645550742</v>
      </c>
      <c r="Q18" s="13">
        <f t="shared" si="5"/>
        <v>34.13605564627075</v>
      </c>
    </row>
    <row r="19" spans="1:17" ht="12">
      <c r="A19" s="3">
        <v>3</v>
      </c>
      <c r="B19">
        <v>0</v>
      </c>
      <c r="C19">
        <v>16</v>
      </c>
      <c r="D19">
        <v>64</v>
      </c>
      <c r="E19">
        <v>28</v>
      </c>
      <c r="F19">
        <v>2</v>
      </c>
      <c r="G19">
        <v>0</v>
      </c>
      <c r="H19">
        <v>29</v>
      </c>
      <c r="J19" s="3">
        <v>17</v>
      </c>
      <c r="K19" s="6">
        <f t="shared" si="0"/>
        <v>0.24285714285714285</v>
      </c>
      <c r="L19" s="4">
        <f t="shared" si="1"/>
        <v>3.75</v>
      </c>
      <c r="M19" s="11">
        <f t="shared" si="6"/>
        <v>3.214285714285714</v>
      </c>
      <c r="N19" s="13">
        <f t="shared" si="2"/>
        <v>10.703678465356083</v>
      </c>
      <c r="O19" s="13">
        <f t="shared" si="3"/>
        <v>17.90375046607609</v>
      </c>
      <c r="P19" s="13">
        <f t="shared" si="4"/>
        <v>26.4538359669311</v>
      </c>
      <c r="Q19" s="13">
        <f t="shared" si="5"/>
        <v>33.65390796765111</v>
      </c>
    </row>
    <row r="20" spans="1:17" s="3" customFormat="1" ht="12">
      <c r="A20" s="3">
        <v>4</v>
      </c>
      <c r="B20">
        <v>0</v>
      </c>
      <c r="C20">
        <v>0</v>
      </c>
      <c r="D20">
        <v>13</v>
      </c>
      <c r="E20">
        <v>55</v>
      </c>
      <c r="F20">
        <v>27</v>
      </c>
      <c r="G20">
        <v>3</v>
      </c>
      <c r="H20">
        <v>18</v>
      </c>
      <c r="J20" s="3">
        <v>18</v>
      </c>
      <c r="K20" s="6">
        <f t="shared" si="0"/>
        <v>0.2571428571428571</v>
      </c>
      <c r="L20" s="4">
        <f t="shared" si="1"/>
        <v>5</v>
      </c>
      <c r="M20" s="11">
        <f t="shared" si="6"/>
        <v>4.285714285714286</v>
      </c>
      <c r="N20" s="13">
        <f t="shared" si="2"/>
        <v>10.221530786736439</v>
      </c>
      <c r="O20" s="13">
        <f t="shared" si="3"/>
        <v>17.421602787456447</v>
      </c>
      <c r="P20" s="13">
        <f t="shared" si="4"/>
        <v>25.971688288311455</v>
      </c>
      <c r="Q20" s="13">
        <f t="shared" si="5"/>
        <v>33.17176028903146</v>
      </c>
    </row>
    <row r="21" spans="1:17" s="3" customFormat="1" ht="12">
      <c r="A21" s="3">
        <v>5</v>
      </c>
      <c r="B21">
        <v>0</v>
      </c>
      <c r="C21">
        <v>0</v>
      </c>
      <c r="D21">
        <v>1</v>
      </c>
      <c r="E21">
        <v>16</v>
      </c>
      <c r="F21">
        <v>71</v>
      </c>
      <c r="G21">
        <v>97</v>
      </c>
      <c r="H21">
        <v>10</v>
      </c>
      <c r="J21" s="3">
        <v>19</v>
      </c>
      <c r="K21" s="6">
        <f t="shared" si="0"/>
        <v>0.2714285714285714</v>
      </c>
      <c r="L21" s="4">
        <f t="shared" si="1"/>
        <v>6.25</v>
      </c>
      <c r="M21" s="11">
        <f t="shared" si="6"/>
        <v>5.357142857142857</v>
      </c>
      <c r="N21" s="13">
        <f t="shared" si="2"/>
        <v>9.739383108116796</v>
      </c>
      <c r="O21" s="13">
        <f t="shared" si="3"/>
        <v>16.939455108836803</v>
      </c>
      <c r="P21" s="13">
        <f t="shared" si="4"/>
        <v>25.48954060969181</v>
      </c>
      <c r="Q21" s="13">
        <f t="shared" si="5"/>
        <v>32.689612610411814</v>
      </c>
    </row>
    <row r="22" spans="1:17" ht="12">
      <c r="A22"/>
      <c r="J22" s="3">
        <v>20</v>
      </c>
      <c r="K22" s="6">
        <f t="shared" si="0"/>
        <v>0.2857142857142857</v>
      </c>
      <c r="L22" s="4">
        <f t="shared" si="1"/>
        <v>7.5</v>
      </c>
      <c r="M22" s="11">
        <f t="shared" si="6"/>
        <v>6.428571428571428</v>
      </c>
      <c r="N22" s="13">
        <f t="shared" si="2"/>
        <v>9.257235429497152</v>
      </c>
      <c r="O22" s="13">
        <f t="shared" si="3"/>
        <v>16.45730743021716</v>
      </c>
      <c r="P22" s="13">
        <f t="shared" si="4"/>
        <v>25.007392931072168</v>
      </c>
      <c r="Q22" s="13">
        <f t="shared" si="5"/>
        <v>32.207464931792174</v>
      </c>
    </row>
    <row r="23" spans="1:17" ht="18">
      <c r="A23"/>
      <c r="E23" s="12" t="s">
        <v>22</v>
      </c>
      <c r="J23" s="3">
        <v>21</v>
      </c>
      <c r="K23" s="6">
        <f t="shared" si="0"/>
        <v>0.3</v>
      </c>
      <c r="L23" s="4">
        <f t="shared" si="1"/>
        <v>8.75</v>
      </c>
      <c r="M23" s="11">
        <f t="shared" si="6"/>
        <v>7.5</v>
      </c>
      <c r="N23" s="13">
        <f t="shared" si="2"/>
        <v>8.775087750877509</v>
      </c>
      <c r="O23" s="13">
        <f t="shared" si="3"/>
        <v>15.975159751597516</v>
      </c>
      <c r="P23" s="13">
        <f t="shared" si="4"/>
        <v>24.525245252452525</v>
      </c>
      <c r="Q23" s="13">
        <f t="shared" si="5"/>
        <v>31.725317253172534</v>
      </c>
    </row>
    <row r="24" spans="1:17" ht="12">
      <c r="A24"/>
      <c r="B24" s="8">
        <v>0.13</v>
      </c>
      <c r="C24" s="8">
        <v>0.28</v>
      </c>
      <c r="D24" s="8">
        <v>0.29</v>
      </c>
      <c r="E24" s="8">
        <v>0.21</v>
      </c>
      <c r="F24" s="8">
        <v>0.08</v>
      </c>
      <c r="G24" s="8">
        <v>0.01</v>
      </c>
      <c r="H24" s="8">
        <v>1</v>
      </c>
      <c r="J24" s="3">
        <v>22</v>
      </c>
      <c r="K24" s="6">
        <f t="shared" si="0"/>
        <v>0.3142857142857143</v>
      </c>
      <c r="L24" s="4">
        <f t="shared" si="1"/>
        <v>10</v>
      </c>
      <c r="M24" s="11">
        <f t="shared" si="6"/>
        <v>8.571428571428571</v>
      </c>
      <c r="N24" s="13">
        <f t="shared" si="2"/>
        <v>8.292940072257867</v>
      </c>
      <c r="O24" s="13">
        <f t="shared" si="3"/>
        <v>15.493012072977875</v>
      </c>
      <c r="P24" s="13">
        <f t="shared" si="4"/>
        <v>24.04309757383288</v>
      </c>
      <c r="Q24" s="13">
        <f t="shared" si="5"/>
        <v>31.24316957455289</v>
      </c>
    </row>
    <row r="25" spans="2:17" ht="12">
      <c r="B25" s="2" t="s">
        <v>33</v>
      </c>
      <c r="C25" s="2" t="s">
        <v>34</v>
      </c>
      <c r="D25" s="2" t="s">
        <v>35</v>
      </c>
      <c r="E25" s="2" t="s">
        <v>36</v>
      </c>
      <c r="F25" s="2" t="s">
        <v>37</v>
      </c>
      <c r="G25" s="2" t="s">
        <v>38</v>
      </c>
      <c r="H25" s="2" t="s">
        <v>5</v>
      </c>
      <c r="J25" s="3">
        <v>23</v>
      </c>
      <c r="K25" s="6">
        <f t="shared" si="0"/>
        <v>0.32857142857142857</v>
      </c>
      <c r="L25" s="4">
        <f t="shared" si="1"/>
        <v>11.25</v>
      </c>
      <c r="M25" s="11">
        <f t="shared" si="6"/>
        <v>9.642857142857142</v>
      </c>
      <c r="N25" s="13">
        <f t="shared" si="2"/>
        <v>7.810792393638223</v>
      </c>
      <c r="O25" s="13">
        <f t="shared" si="3"/>
        <v>15.010864394358231</v>
      </c>
      <c r="P25" s="13">
        <f t="shared" si="4"/>
        <v>23.56094989521324</v>
      </c>
      <c r="Q25" s="13">
        <f t="shared" si="5"/>
        <v>30.761021895933247</v>
      </c>
    </row>
    <row r="26" spans="1:17" ht="12">
      <c r="A26" s="3">
        <v>1</v>
      </c>
      <c r="B26">
        <v>86</v>
      </c>
      <c r="C26">
        <v>25</v>
      </c>
      <c r="D26">
        <v>1</v>
      </c>
      <c r="E26">
        <v>0</v>
      </c>
      <c r="F26">
        <v>0</v>
      </c>
      <c r="G26">
        <v>0</v>
      </c>
      <c r="H26">
        <v>18</v>
      </c>
      <c r="J26" s="3">
        <v>24</v>
      </c>
      <c r="K26" s="6">
        <f t="shared" si="0"/>
        <v>0.34285714285714286</v>
      </c>
      <c r="L26" s="4">
        <f t="shared" si="1"/>
        <v>12.5</v>
      </c>
      <c r="M26" s="11">
        <f t="shared" si="6"/>
        <v>10.714285714285714</v>
      </c>
      <c r="N26" s="13">
        <f t="shared" si="2"/>
        <v>7.328644715018578</v>
      </c>
      <c r="O26" s="13">
        <f t="shared" si="3"/>
        <v>14.528716715738586</v>
      </c>
      <c r="P26" s="13">
        <f t="shared" si="4"/>
        <v>23.078802216593594</v>
      </c>
      <c r="Q26" s="13">
        <f t="shared" si="5"/>
        <v>30.278874217313604</v>
      </c>
    </row>
    <row r="27" spans="1:17" ht="12">
      <c r="A27" s="3">
        <v>2</v>
      </c>
      <c r="B27">
        <v>14</v>
      </c>
      <c r="C27">
        <v>59</v>
      </c>
      <c r="D27">
        <v>21</v>
      </c>
      <c r="E27">
        <v>1</v>
      </c>
      <c r="F27">
        <v>0</v>
      </c>
      <c r="G27">
        <v>0</v>
      </c>
      <c r="H27">
        <v>25</v>
      </c>
      <c r="J27" s="3">
        <v>25</v>
      </c>
      <c r="K27" s="6">
        <f t="shared" si="0"/>
        <v>0.35714285714285715</v>
      </c>
      <c r="L27" s="4">
        <f t="shared" si="1"/>
        <v>13.75</v>
      </c>
      <c r="M27" s="11">
        <f t="shared" si="6"/>
        <v>11.785714285714285</v>
      </c>
      <c r="N27" s="13">
        <f t="shared" si="2"/>
        <v>6.846497036398936</v>
      </c>
      <c r="O27" s="13">
        <f t="shared" si="3"/>
        <v>14.046569037118944</v>
      </c>
      <c r="P27" s="13">
        <f t="shared" si="4"/>
        <v>22.59665453797395</v>
      </c>
      <c r="Q27" s="13">
        <f t="shared" si="5"/>
        <v>29.796726538693964</v>
      </c>
    </row>
    <row r="28" spans="1:17" ht="12">
      <c r="A28" s="3">
        <v>3</v>
      </c>
      <c r="B28">
        <v>0</v>
      </c>
      <c r="C28">
        <v>16</v>
      </c>
      <c r="D28">
        <v>64</v>
      </c>
      <c r="E28">
        <v>28</v>
      </c>
      <c r="F28">
        <v>2</v>
      </c>
      <c r="G28">
        <v>0</v>
      </c>
      <c r="H28">
        <v>29</v>
      </c>
      <c r="J28" s="3">
        <v>26</v>
      </c>
      <c r="K28" s="6">
        <f t="shared" si="0"/>
        <v>0.37142857142857144</v>
      </c>
      <c r="L28" s="4">
        <f t="shared" si="1"/>
        <v>15</v>
      </c>
      <c r="M28" s="11">
        <f t="shared" si="6"/>
        <v>12.857142857142856</v>
      </c>
      <c r="N28" s="13">
        <f t="shared" si="2"/>
        <v>6.364349357779293</v>
      </c>
      <c r="O28" s="13">
        <f t="shared" si="3"/>
        <v>13.5644213584993</v>
      </c>
      <c r="P28" s="13">
        <f t="shared" si="4"/>
        <v>22.11450685935431</v>
      </c>
      <c r="Q28" s="13">
        <f t="shared" si="5"/>
        <v>29.314578860074313</v>
      </c>
    </row>
    <row r="29" spans="1:17" ht="12">
      <c r="A29" s="3">
        <v>4</v>
      </c>
      <c r="B29">
        <v>0</v>
      </c>
      <c r="C29">
        <v>0</v>
      </c>
      <c r="D29">
        <v>13</v>
      </c>
      <c r="E29">
        <v>55</v>
      </c>
      <c r="F29">
        <v>27</v>
      </c>
      <c r="G29">
        <v>3</v>
      </c>
      <c r="H29">
        <v>18</v>
      </c>
      <c r="J29" s="3">
        <v>27</v>
      </c>
      <c r="K29" s="6">
        <f t="shared" si="0"/>
        <v>0.38571428571428573</v>
      </c>
      <c r="L29" s="4">
        <f t="shared" si="1"/>
        <v>16.25</v>
      </c>
      <c r="M29" s="11">
        <f t="shared" si="6"/>
        <v>13.928571428571427</v>
      </c>
      <c r="N29" s="13">
        <f t="shared" si="2"/>
        <v>5.88220167915965</v>
      </c>
      <c r="O29" s="13">
        <f t="shared" si="3"/>
        <v>13.082273679879657</v>
      </c>
      <c r="P29" s="13">
        <f t="shared" si="4"/>
        <v>21.632359180734664</v>
      </c>
      <c r="Q29" s="13">
        <f t="shared" si="5"/>
        <v>28.83243118145467</v>
      </c>
    </row>
    <row r="30" spans="1:17" ht="12">
      <c r="A30" s="3">
        <v>5</v>
      </c>
      <c r="B30">
        <v>0</v>
      </c>
      <c r="C30">
        <v>0</v>
      </c>
      <c r="D30">
        <v>1</v>
      </c>
      <c r="E30">
        <v>16</v>
      </c>
      <c r="F30">
        <v>71</v>
      </c>
      <c r="G30">
        <v>97</v>
      </c>
      <c r="H30">
        <v>10</v>
      </c>
      <c r="J30" s="3">
        <v>28</v>
      </c>
      <c r="K30" s="6">
        <f t="shared" si="0"/>
        <v>0.4</v>
      </c>
      <c r="L30" s="4">
        <f t="shared" si="1"/>
        <v>17.5</v>
      </c>
      <c r="M30" s="11">
        <f t="shared" si="6"/>
        <v>15</v>
      </c>
      <c r="N30" s="13">
        <f t="shared" si="2"/>
        <v>5.400054000540005</v>
      </c>
      <c r="O30" s="13">
        <f t="shared" si="3"/>
        <v>12.600126001260012</v>
      </c>
      <c r="P30" s="13">
        <f t="shared" si="4"/>
        <v>21.15021150211502</v>
      </c>
      <c r="Q30" s="13">
        <f t="shared" si="5"/>
        <v>28.35028350283503</v>
      </c>
    </row>
    <row r="31" spans="10:17" ht="12">
      <c r="J31" s="3">
        <v>29</v>
      </c>
      <c r="K31" s="6">
        <f t="shared" si="0"/>
        <v>0.4142857142857143</v>
      </c>
      <c r="L31" s="4">
        <f t="shared" si="1"/>
        <v>18.75</v>
      </c>
      <c r="M31" s="11">
        <f t="shared" si="6"/>
        <v>16.07142857142857</v>
      </c>
      <c r="N31" s="13">
        <f t="shared" si="2"/>
        <v>4.917906321920363</v>
      </c>
      <c r="O31" s="13">
        <f t="shared" si="3"/>
        <v>12.11797832264037</v>
      </c>
      <c r="P31" s="13">
        <f t="shared" si="4"/>
        <v>20.66806382349538</v>
      </c>
      <c r="Q31" s="13">
        <f t="shared" si="5"/>
        <v>27.868135824215386</v>
      </c>
    </row>
    <row r="32" spans="1:17" ht="18">
      <c r="A32" s="3">
        <v>0.01</v>
      </c>
      <c r="D32" s="12" t="s">
        <v>40</v>
      </c>
      <c r="J32" s="3">
        <v>30</v>
      </c>
      <c r="K32" s="6">
        <f t="shared" si="0"/>
        <v>0.42857142857142855</v>
      </c>
      <c r="L32" s="4">
        <f t="shared" si="1"/>
        <v>20</v>
      </c>
      <c r="M32" s="11">
        <f t="shared" si="6"/>
        <v>17.142857142857142</v>
      </c>
      <c r="N32" s="13">
        <f t="shared" si="2"/>
        <v>4.435758643300719</v>
      </c>
      <c r="O32" s="13">
        <f t="shared" si="3"/>
        <v>11.635830644020727</v>
      </c>
      <c r="P32" s="13">
        <f t="shared" si="4"/>
        <v>20.185916144875737</v>
      </c>
      <c r="Q32" s="13">
        <f t="shared" si="5"/>
        <v>27.385988145595743</v>
      </c>
    </row>
    <row r="33" spans="1:17" ht="12">
      <c r="A33" t="s">
        <v>39</v>
      </c>
      <c r="B33" s="6">
        <v>0.13</v>
      </c>
      <c r="C33" s="6">
        <v>0.28</v>
      </c>
      <c r="D33" s="6">
        <v>0.29</v>
      </c>
      <c r="E33" s="6">
        <v>0.21</v>
      </c>
      <c r="F33" s="6">
        <v>0.08</v>
      </c>
      <c r="G33" s="6">
        <v>0.01</v>
      </c>
      <c r="J33" s="3">
        <v>31</v>
      </c>
      <c r="K33" s="6">
        <f t="shared" si="0"/>
        <v>0.44285714285714284</v>
      </c>
      <c r="L33" s="4">
        <f t="shared" si="1"/>
        <v>21.25</v>
      </c>
      <c r="M33" s="11">
        <f t="shared" si="6"/>
        <v>18.21428571428571</v>
      </c>
      <c r="N33" s="13">
        <f t="shared" si="2"/>
        <v>3.9536109646810766</v>
      </c>
      <c r="O33" s="13">
        <f t="shared" si="3"/>
        <v>11.153682965401083</v>
      </c>
      <c r="P33" s="13">
        <f t="shared" si="4"/>
        <v>19.703768466256093</v>
      </c>
      <c r="Q33" s="13">
        <f t="shared" si="5"/>
        <v>26.903840466976103</v>
      </c>
    </row>
    <row r="34" spans="1:17" ht="12">
      <c r="A34" t="s">
        <v>24</v>
      </c>
      <c r="B34" s="2" t="s">
        <v>33</v>
      </c>
      <c r="C34" s="2" t="s">
        <v>34</v>
      </c>
      <c r="D34" s="2" t="s">
        <v>35</v>
      </c>
      <c r="E34" s="2" t="s">
        <v>36</v>
      </c>
      <c r="F34" s="2" t="s">
        <v>37</v>
      </c>
      <c r="G34" s="2" t="s">
        <v>38</v>
      </c>
      <c r="J34" s="3">
        <v>32</v>
      </c>
      <c r="K34" s="6">
        <f t="shared" si="0"/>
        <v>0.45714285714285713</v>
      </c>
      <c r="L34" s="4">
        <f t="shared" si="1"/>
        <v>22.5</v>
      </c>
      <c r="M34" s="11">
        <f t="shared" si="6"/>
        <v>19.285714285714285</v>
      </c>
      <c r="N34" s="13">
        <f t="shared" si="2"/>
        <v>3.4714632860614327</v>
      </c>
      <c r="O34" s="13">
        <f t="shared" si="3"/>
        <v>10.67153528678144</v>
      </c>
      <c r="P34" s="13">
        <f t="shared" si="4"/>
        <v>19.22162078763645</v>
      </c>
      <c r="Q34" s="13">
        <f t="shared" si="5"/>
        <v>26.421692788356456</v>
      </c>
    </row>
    <row r="35" spans="1:17" ht="12">
      <c r="A35">
        <v>1</v>
      </c>
      <c r="B35" s="15">
        <f aca="true" t="shared" si="7" ref="B35:G39">B17*B$33*Percentifier</f>
        <v>0.1118</v>
      </c>
      <c r="C35" s="15">
        <f t="shared" si="7"/>
        <v>0.07</v>
      </c>
      <c r="D35" s="15">
        <f t="shared" si="7"/>
        <v>0.0029</v>
      </c>
      <c r="E35" s="15">
        <f t="shared" si="7"/>
        <v>0</v>
      </c>
      <c r="F35" s="15">
        <f t="shared" si="7"/>
        <v>0</v>
      </c>
      <c r="G35" s="15">
        <f t="shared" si="7"/>
        <v>0</v>
      </c>
      <c r="J35" s="3">
        <v>33</v>
      </c>
      <c r="K35" s="6">
        <f t="shared" si="0"/>
        <v>0.4714285714285714</v>
      </c>
      <c r="L35" s="4">
        <f t="shared" si="1"/>
        <v>23.75</v>
      </c>
      <c r="M35" s="11">
        <f t="shared" si="6"/>
        <v>20.357142857142858</v>
      </c>
      <c r="N35" s="13">
        <f t="shared" si="2"/>
        <v>2.9893156074417884</v>
      </c>
      <c r="O35" s="13">
        <f t="shared" si="3"/>
        <v>10.189387608161796</v>
      </c>
      <c r="P35" s="13">
        <f t="shared" si="4"/>
        <v>18.739473109016803</v>
      </c>
      <c r="Q35" s="13">
        <f t="shared" si="5"/>
        <v>25.93954510973681</v>
      </c>
    </row>
    <row r="36" spans="1:17" ht="12">
      <c r="A36">
        <v>2</v>
      </c>
      <c r="B36" s="15">
        <f t="shared" si="7"/>
        <v>0.0182</v>
      </c>
      <c r="C36" s="15">
        <f t="shared" si="7"/>
        <v>0.16520000000000004</v>
      </c>
      <c r="D36" s="15">
        <f t="shared" si="7"/>
        <v>0.0609</v>
      </c>
      <c r="E36" s="15">
        <f t="shared" si="7"/>
        <v>0.0021</v>
      </c>
      <c r="F36" s="15">
        <f t="shared" si="7"/>
        <v>0</v>
      </c>
      <c r="G36" s="15">
        <f t="shared" si="7"/>
        <v>0</v>
      </c>
      <c r="J36" s="3">
        <v>34</v>
      </c>
      <c r="K36" s="6">
        <f t="shared" si="0"/>
        <v>0.4857142857142857</v>
      </c>
      <c r="L36" s="4">
        <f t="shared" si="1"/>
        <v>25</v>
      </c>
      <c r="M36" s="11">
        <f t="shared" si="6"/>
        <v>21.428571428571427</v>
      </c>
      <c r="N36" s="13">
        <f t="shared" si="2"/>
        <v>2.5071679288221462</v>
      </c>
      <c r="O36" s="13">
        <f t="shared" si="3"/>
        <v>9.707239929542153</v>
      </c>
      <c r="P36" s="13">
        <f t="shared" si="4"/>
        <v>18.25732543039716</v>
      </c>
      <c r="Q36" s="13">
        <f t="shared" si="5"/>
        <v>25.45739743111717</v>
      </c>
    </row>
    <row r="37" spans="1:17" ht="12">
      <c r="A37">
        <v>3</v>
      </c>
      <c r="B37" s="15">
        <f t="shared" si="7"/>
        <v>0</v>
      </c>
      <c r="C37" s="15">
        <f t="shared" si="7"/>
        <v>0.044800000000000006</v>
      </c>
      <c r="D37" s="15">
        <f t="shared" si="7"/>
        <v>0.1856</v>
      </c>
      <c r="E37" s="15">
        <f t="shared" si="7"/>
        <v>0.0588</v>
      </c>
      <c r="F37" s="15">
        <f t="shared" si="7"/>
        <v>0.0016</v>
      </c>
      <c r="G37" s="15">
        <f t="shared" si="7"/>
        <v>0</v>
      </c>
      <c r="J37" s="3">
        <v>35</v>
      </c>
      <c r="K37" s="6">
        <f t="shared" si="0"/>
        <v>0.5</v>
      </c>
      <c r="L37" s="4">
        <f t="shared" si="1"/>
        <v>26.25</v>
      </c>
      <c r="M37" s="11">
        <f t="shared" si="6"/>
        <v>22.5</v>
      </c>
      <c r="N37" s="13">
        <f t="shared" si="2"/>
        <v>2.025020250202502</v>
      </c>
      <c r="O37" s="13">
        <f t="shared" si="3"/>
        <v>9.22509225092251</v>
      </c>
      <c r="P37" s="13">
        <f t="shared" si="4"/>
        <v>17.77517775177752</v>
      </c>
      <c r="Q37" s="13">
        <f t="shared" si="5"/>
        <v>24.975249752497525</v>
      </c>
    </row>
    <row r="38" spans="1:17" ht="12">
      <c r="A38">
        <v>4</v>
      </c>
      <c r="B38" s="15">
        <f t="shared" si="7"/>
        <v>0</v>
      </c>
      <c r="C38" s="15">
        <f t="shared" si="7"/>
        <v>0</v>
      </c>
      <c r="D38" s="15">
        <f t="shared" si="7"/>
        <v>0.0377</v>
      </c>
      <c r="E38" s="15">
        <f t="shared" si="7"/>
        <v>0.11549999999999999</v>
      </c>
      <c r="F38" s="15">
        <f t="shared" si="7"/>
        <v>0.0216</v>
      </c>
      <c r="G38" s="15">
        <f t="shared" si="7"/>
        <v>0.0003</v>
      </c>
      <c r="J38" s="3">
        <v>36</v>
      </c>
      <c r="K38" s="6">
        <f t="shared" si="0"/>
        <v>0.5142857142857142</v>
      </c>
      <c r="L38" s="4">
        <f t="shared" si="1"/>
        <v>27.5</v>
      </c>
      <c r="M38" s="11">
        <f t="shared" si="6"/>
        <v>23.57142857142857</v>
      </c>
      <c r="N38" s="13">
        <f t="shared" si="2"/>
        <v>1.5428725715828597</v>
      </c>
      <c r="O38" s="13">
        <f t="shared" si="3"/>
        <v>8.742944572302868</v>
      </c>
      <c r="P38" s="13">
        <f t="shared" si="4"/>
        <v>17.293030073157876</v>
      </c>
      <c r="Q38" s="13">
        <f t="shared" si="5"/>
        <v>24.493102073877882</v>
      </c>
    </row>
    <row r="39" spans="1:17" ht="12">
      <c r="A39">
        <v>5</v>
      </c>
      <c r="B39" s="15">
        <f t="shared" si="7"/>
        <v>0</v>
      </c>
      <c r="C39" s="15">
        <f t="shared" si="7"/>
        <v>0</v>
      </c>
      <c r="D39" s="15">
        <f t="shared" si="7"/>
        <v>0.0029</v>
      </c>
      <c r="E39" s="15">
        <f t="shared" si="7"/>
        <v>0.0336</v>
      </c>
      <c r="F39" s="15">
        <f t="shared" si="7"/>
        <v>0.056799999999999996</v>
      </c>
      <c r="G39" s="15">
        <f t="shared" si="7"/>
        <v>0.0097</v>
      </c>
      <c r="J39" s="3">
        <v>37</v>
      </c>
      <c r="K39" s="6">
        <f t="shared" si="0"/>
        <v>0.5285714285714286</v>
      </c>
      <c r="L39" s="4">
        <f t="shared" si="1"/>
        <v>28.75</v>
      </c>
      <c r="M39" s="11">
        <f t="shared" si="6"/>
        <v>24.642857142857142</v>
      </c>
      <c r="N39" s="13">
        <f t="shared" si="2"/>
        <v>1.0607248929632156</v>
      </c>
      <c r="O39" s="13">
        <f t="shared" si="3"/>
        <v>8.260796893683223</v>
      </c>
      <c r="P39" s="13">
        <f t="shared" si="4"/>
        <v>16.810882394538233</v>
      </c>
      <c r="Q39" s="13">
        <f t="shared" si="5"/>
        <v>24.010954395258242</v>
      </c>
    </row>
    <row r="40" spans="10:17" ht="12">
      <c r="J40" s="3">
        <v>38</v>
      </c>
      <c r="K40" s="6">
        <f t="shared" si="0"/>
        <v>0.5428571428571428</v>
      </c>
      <c r="L40" s="4">
        <f t="shared" si="1"/>
        <v>30</v>
      </c>
      <c r="M40" s="11">
        <f t="shared" si="6"/>
        <v>25.71428571428571</v>
      </c>
      <c r="N40" s="13">
        <f t="shared" si="2"/>
        <v>0.5785772143435731</v>
      </c>
      <c r="O40" s="13">
        <f t="shared" si="3"/>
        <v>7.778649215063581</v>
      </c>
      <c r="P40" s="13">
        <f t="shared" si="4"/>
        <v>16.32873471591859</v>
      </c>
      <c r="Q40" s="13">
        <f t="shared" si="5"/>
        <v>23.5288067166386</v>
      </c>
    </row>
    <row r="41" spans="1:17" ht="18">
      <c r="A41" s="12" t="s">
        <v>10</v>
      </c>
      <c r="E41" s="12" t="s">
        <v>54</v>
      </c>
      <c r="J41" s="3">
        <v>39</v>
      </c>
      <c r="K41" s="6">
        <f t="shared" si="0"/>
        <v>0.5571428571428572</v>
      </c>
      <c r="L41" s="4">
        <f t="shared" si="1"/>
        <v>31.25</v>
      </c>
      <c r="M41" s="11">
        <f t="shared" si="6"/>
        <v>26.785714285714285</v>
      </c>
      <c r="N41" s="13">
        <f t="shared" si="2"/>
        <v>0.09642953572392912</v>
      </c>
      <c r="O41" s="13">
        <f t="shared" si="3"/>
        <v>7.2965015364439365</v>
      </c>
      <c r="P41" s="13">
        <f t="shared" si="4"/>
        <v>15.846587037298946</v>
      </c>
      <c r="Q41" s="13">
        <f t="shared" si="5"/>
        <v>23.04665903801895</v>
      </c>
    </row>
    <row r="42" spans="1:17" ht="12">
      <c r="A42" t="s">
        <v>16</v>
      </c>
      <c r="B42">
        <v>100</v>
      </c>
      <c r="E42">
        <v>5</v>
      </c>
      <c r="F42">
        <v>78</v>
      </c>
      <c r="J42" s="3">
        <v>40</v>
      </c>
      <c r="K42" s="6">
        <f t="shared" si="0"/>
        <v>0.5714285714285714</v>
      </c>
      <c r="L42" s="4">
        <f t="shared" si="1"/>
        <v>32.5</v>
      </c>
      <c r="M42" s="11">
        <f t="shared" si="6"/>
        <v>27.857142857142854</v>
      </c>
      <c r="N42" s="13">
        <f t="shared" si="2"/>
        <v>-0.3857181428957133</v>
      </c>
      <c r="O42" s="13">
        <f t="shared" si="3"/>
        <v>6.814353857824294</v>
      </c>
      <c r="P42" s="13">
        <f t="shared" si="4"/>
        <v>15.364439358679302</v>
      </c>
      <c r="Q42" s="13">
        <f t="shared" si="5"/>
        <v>22.56451135939931</v>
      </c>
    </row>
    <row r="43" spans="1:17" ht="12">
      <c r="A43" t="s">
        <v>12</v>
      </c>
      <c r="B43">
        <f>50-(1/4*50)</f>
        <v>37.5</v>
      </c>
      <c r="E43">
        <v>4</v>
      </c>
      <c r="F43">
        <v>62</v>
      </c>
      <c r="J43" s="3">
        <v>41</v>
      </c>
      <c r="K43" s="6">
        <f t="shared" si="0"/>
        <v>0.5857142857142857</v>
      </c>
      <c r="L43" s="4">
        <f t="shared" si="1"/>
        <v>33.75</v>
      </c>
      <c r="M43" s="11">
        <f t="shared" si="6"/>
        <v>28.928571428571427</v>
      </c>
      <c r="N43" s="13">
        <f t="shared" si="2"/>
        <v>-0.8678658215153573</v>
      </c>
      <c r="O43" s="13">
        <f t="shared" si="3"/>
        <v>6.33220617920465</v>
      </c>
      <c r="P43" s="13">
        <f t="shared" si="4"/>
        <v>14.882291680059657</v>
      </c>
      <c r="Q43" s="13">
        <f t="shared" si="5"/>
        <v>22.082363680779665</v>
      </c>
    </row>
    <row r="44" spans="1:17" ht="12">
      <c r="A44" t="s">
        <v>13</v>
      </c>
      <c r="B44">
        <f>33-1/4*(67)</f>
        <v>16.25</v>
      </c>
      <c r="E44">
        <v>3</v>
      </c>
      <c r="F44">
        <v>43</v>
      </c>
      <c r="J44" s="3">
        <v>42</v>
      </c>
      <c r="K44" s="6">
        <f t="shared" si="0"/>
        <v>0.6</v>
      </c>
      <c r="L44" s="4">
        <f t="shared" si="1"/>
        <v>35</v>
      </c>
      <c r="M44" s="11">
        <f t="shared" si="6"/>
        <v>30</v>
      </c>
      <c r="N44" s="13">
        <f t="shared" si="2"/>
        <v>-1.3500135001350013</v>
      </c>
      <c r="O44" s="13">
        <f t="shared" si="3"/>
        <v>5.850058500585006</v>
      </c>
      <c r="P44" s="13">
        <f t="shared" si="4"/>
        <v>14.400144001440015</v>
      </c>
      <c r="Q44" s="13">
        <f t="shared" si="5"/>
        <v>21.60021600216002</v>
      </c>
    </row>
    <row r="45" spans="1:17" ht="12">
      <c r="A45" t="s">
        <v>11</v>
      </c>
      <c r="B45">
        <f>25-1/4*(75)</f>
        <v>6.25</v>
      </c>
      <c r="E45">
        <v>2</v>
      </c>
      <c r="F45">
        <v>27</v>
      </c>
      <c r="J45" s="3">
        <v>43</v>
      </c>
      <c r="K45" s="6">
        <f t="shared" si="0"/>
        <v>0.6142857142857143</v>
      </c>
      <c r="L45" s="4">
        <f t="shared" si="1"/>
        <v>36.25</v>
      </c>
      <c r="M45" s="11">
        <f t="shared" si="6"/>
        <v>31.07142857142857</v>
      </c>
      <c r="N45" s="13">
        <f t="shared" si="2"/>
        <v>-1.832161178754644</v>
      </c>
      <c r="O45" s="13">
        <f t="shared" si="3"/>
        <v>5.3679108219653635</v>
      </c>
      <c r="P45" s="13">
        <f t="shared" si="4"/>
        <v>13.917996322820372</v>
      </c>
      <c r="Q45" s="13">
        <f t="shared" si="5"/>
        <v>21.11806832354038</v>
      </c>
    </row>
    <row r="46" spans="1:17" ht="12">
      <c r="A46" s="5" t="s">
        <v>14</v>
      </c>
      <c r="B46">
        <v>0</v>
      </c>
      <c r="E46">
        <v>1</v>
      </c>
      <c r="F46">
        <v>0</v>
      </c>
      <c r="J46" s="3">
        <v>44</v>
      </c>
      <c r="K46" s="6">
        <f t="shared" si="0"/>
        <v>0.6285714285714286</v>
      </c>
      <c r="L46" s="4">
        <f t="shared" si="1"/>
        <v>37.5</v>
      </c>
      <c r="M46" s="11">
        <f t="shared" si="6"/>
        <v>32.14285714285714</v>
      </c>
      <c r="N46" s="13">
        <f t="shared" si="2"/>
        <v>-2.3143088573742863</v>
      </c>
      <c r="O46" s="13">
        <f t="shared" si="3"/>
        <v>4.885763143345721</v>
      </c>
      <c r="P46" s="13">
        <f t="shared" si="4"/>
        <v>13.43584864420073</v>
      </c>
      <c r="Q46" s="13">
        <f t="shared" si="5"/>
        <v>20.635920644920738</v>
      </c>
    </row>
    <row r="47" spans="1:17" ht="12">
      <c r="A47" t="s">
        <v>17</v>
      </c>
      <c r="B47">
        <v>0</v>
      </c>
      <c r="J47" s="3">
        <v>45</v>
      </c>
      <c r="K47" s="6">
        <f t="shared" si="0"/>
        <v>0.6428571428571429</v>
      </c>
      <c r="L47" s="4">
        <f t="shared" si="1"/>
        <v>38.75</v>
      </c>
      <c r="M47" s="11">
        <f t="shared" si="6"/>
        <v>33.214285714285715</v>
      </c>
      <c r="N47" s="13">
        <f t="shared" si="2"/>
        <v>-2.796456535993932</v>
      </c>
      <c r="O47" s="13">
        <f t="shared" si="3"/>
        <v>4.403615464726076</v>
      </c>
      <c r="P47" s="13">
        <f t="shared" si="4"/>
        <v>12.953700965581085</v>
      </c>
      <c r="Q47" s="13">
        <f t="shared" si="5"/>
        <v>20.15377296630109</v>
      </c>
    </row>
    <row r="48" spans="1:17" ht="12">
      <c r="A48" t="s">
        <v>15</v>
      </c>
      <c r="B48">
        <v>-25</v>
      </c>
      <c r="J48" s="3">
        <v>46</v>
      </c>
      <c r="K48" s="6">
        <f t="shared" si="0"/>
        <v>0.6571428571428571</v>
      </c>
      <c r="L48" s="4">
        <f t="shared" si="1"/>
        <v>40</v>
      </c>
      <c r="M48" s="11">
        <f t="shared" si="6"/>
        <v>34.285714285714285</v>
      </c>
      <c r="N48" s="13">
        <f t="shared" si="2"/>
        <v>-3.2786042146135745</v>
      </c>
      <c r="O48" s="13">
        <f t="shared" si="3"/>
        <v>3.921467786106433</v>
      </c>
      <c r="P48" s="13">
        <f t="shared" si="4"/>
        <v>12.471553286961441</v>
      </c>
      <c r="Q48" s="13">
        <f t="shared" si="5"/>
        <v>19.67162528768145</v>
      </c>
    </row>
    <row r="49" spans="10:17" ht="12">
      <c r="J49" s="3">
        <v>47</v>
      </c>
      <c r="K49" s="6">
        <f t="shared" si="0"/>
        <v>0.6714285714285714</v>
      </c>
      <c r="L49" s="4">
        <f t="shared" si="1"/>
        <v>41.25</v>
      </c>
      <c r="M49" s="11">
        <f t="shared" si="6"/>
        <v>35.357142857142854</v>
      </c>
      <c r="N49" s="13">
        <f t="shared" si="2"/>
        <v>-3.7607518932332167</v>
      </c>
      <c r="O49" s="13">
        <f t="shared" si="3"/>
        <v>3.4393201074867905</v>
      </c>
      <c r="P49" s="13">
        <f t="shared" si="4"/>
        <v>11.9894056083418</v>
      </c>
      <c r="Q49" s="13">
        <f t="shared" si="5"/>
        <v>19.189477609061807</v>
      </c>
    </row>
    <row r="50" spans="1:17" ht="18">
      <c r="A50" s="12" t="s">
        <v>61</v>
      </c>
      <c r="J50" s="3">
        <v>48</v>
      </c>
      <c r="K50" s="6">
        <f t="shared" si="0"/>
        <v>0.6857142857142857</v>
      </c>
      <c r="L50" s="4">
        <f t="shared" si="1"/>
        <v>42.5</v>
      </c>
      <c r="M50" s="11">
        <f t="shared" si="6"/>
        <v>36.42857142857142</v>
      </c>
      <c r="N50" s="13">
        <f t="shared" si="2"/>
        <v>-4.242899571852859</v>
      </c>
      <c r="O50" s="13">
        <f t="shared" si="3"/>
        <v>2.9571724288671484</v>
      </c>
      <c r="P50" s="13">
        <f t="shared" si="4"/>
        <v>11.507257929722156</v>
      </c>
      <c r="Q50" s="13">
        <f t="shared" si="5"/>
        <v>18.707329930442164</v>
      </c>
    </row>
    <row r="51" spans="1:17" ht="12">
      <c r="A51" t="s">
        <v>72</v>
      </c>
      <c r="J51" s="3">
        <v>49</v>
      </c>
      <c r="K51" s="6">
        <f t="shared" si="0"/>
        <v>0.7</v>
      </c>
      <c r="L51" s="4">
        <f t="shared" si="1"/>
        <v>43.75</v>
      </c>
      <c r="M51" s="11">
        <f t="shared" si="6"/>
        <v>37.5</v>
      </c>
      <c r="N51" s="13">
        <f t="shared" si="2"/>
        <v>-4.725047250472505</v>
      </c>
      <c r="O51" s="13">
        <f t="shared" si="3"/>
        <v>2.4750247502475027</v>
      </c>
      <c r="P51" s="13">
        <f t="shared" si="4"/>
        <v>11.025110251102511</v>
      </c>
      <c r="Q51" s="13">
        <f t="shared" si="5"/>
        <v>18.22518225182252</v>
      </c>
    </row>
    <row r="52" spans="1:17" ht="12">
      <c r="A52" s="4">
        <f>Essay_Weight/B52</f>
        <v>2.0444240000000002</v>
      </c>
      <c r="B52" s="13">
        <f>1.25*Multiplier</f>
        <v>1.0869565217391304</v>
      </c>
      <c r="C52" t="s">
        <v>69</v>
      </c>
      <c r="J52" s="3">
        <v>50</v>
      </c>
      <c r="K52" s="6">
        <f t="shared" si="0"/>
        <v>0.7142857142857143</v>
      </c>
      <c r="L52" s="4">
        <f t="shared" si="1"/>
        <v>45</v>
      </c>
      <c r="M52" s="11">
        <f t="shared" si="6"/>
        <v>38.57142857142857</v>
      </c>
      <c r="N52" s="13">
        <f t="shared" si="2"/>
        <v>-5.2071949290921475</v>
      </c>
      <c r="O52" s="13">
        <f t="shared" si="3"/>
        <v>1.99287707162786</v>
      </c>
      <c r="P52" s="13">
        <f t="shared" si="4"/>
        <v>10.54296257248287</v>
      </c>
      <c r="Q52" s="13">
        <f t="shared" si="5"/>
        <v>17.743034573202877</v>
      </c>
    </row>
    <row r="53" spans="1:17" ht="12">
      <c r="A53" s="4">
        <f>Essay_Weight/B53</f>
        <v>2.0740533333333335</v>
      </c>
      <c r="B53" s="13">
        <f>1.25*$G$2</f>
        <v>1.0714285714285714</v>
      </c>
      <c r="C53" t="s">
        <v>73</v>
      </c>
      <c r="J53" s="3">
        <v>51</v>
      </c>
      <c r="K53" s="6">
        <f t="shared" si="0"/>
        <v>0.7285714285714285</v>
      </c>
      <c r="L53" s="4">
        <f t="shared" si="1"/>
        <v>46.25</v>
      </c>
      <c r="M53" s="11">
        <f t="shared" si="6"/>
        <v>39.64285714285714</v>
      </c>
      <c r="N53" s="13">
        <f t="shared" si="2"/>
        <v>-5.68934260771179</v>
      </c>
      <c r="O53" s="13">
        <f t="shared" si="3"/>
        <v>1.5107293930082177</v>
      </c>
      <c r="P53" s="13">
        <f t="shared" si="4"/>
        <v>10.060814893863226</v>
      </c>
      <c r="Q53" s="13">
        <f t="shared" si="5"/>
        <v>17.260886894583233</v>
      </c>
    </row>
    <row r="54" spans="1:17" ht="12">
      <c r="A54" t="s">
        <v>71</v>
      </c>
      <c r="J54" s="3">
        <v>52</v>
      </c>
      <c r="K54" s="6">
        <f t="shared" si="0"/>
        <v>0.7428571428571429</v>
      </c>
      <c r="L54" s="4">
        <f t="shared" si="1"/>
        <v>47.5</v>
      </c>
      <c r="M54" s="11">
        <f t="shared" si="6"/>
        <v>40.714285714285715</v>
      </c>
      <c r="N54" s="13">
        <f t="shared" si="2"/>
        <v>-6.171490286331435</v>
      </c>
      <c r="O54" s="13">
        <f t="shared" si="3"/>
        <v>1.028581714388572</v>
      </c>
      <c r="P54" s="13">
        <f t="shared" si="4"/>
        <v>9.57866721524358</v>
      </c>
      <c r="Q54" s="13">
        <f t="shared" si="5"/>
        <v>16.778739215963586</v>
      </c>
    </row>
    <row r="55" spans="1:17" ht="12">
      <c r="A55" s="3" t="s">
        <v>74</v>
      </c>
      <c r="J55" s="3">
        <v>53</v>
      </c>
      <c r="K55" s="6">
        <f t="shared" si="0"/>
        <v>0.7571428571428571</v>
      </c>
      <c r="L55" s="4">
        <f t="shared" si="1"/>
        <v>48.75</v>
      </c>
      <c r="M55" s="11">
        <f t="shared" si="6"/>
        <v>41.785714285714285</v>
      </c>
      <c r="N55" s="13">
        <f t="shared" si="2"/>
        <v>-6.653637964951078</v>
      </c>
      <c r="O55" s="13">
        <f t="shared" si="3"/>
        <v>0.5464340357689296</v>
      </c>
      <c r="P55" s="13">
        <f t="shared" si="4"/>
        <v>9.096519536623939</v>
      </c>
      <c r="Q55" s="13">
        <f t="shared" si="5"/>
        <v>16.296591537343946</v>
      </c>
    </row>
    <row r="56" spans="10:17" ht="12">
      <c r="J56" s="3">
        <v>54</v>
      </c>
      <c r="K56" s="6">
        <f t="shared" si="0"/>
        <v>0.7714285714285715</v>
      </c>
      <c r="L56" s="4">
        <f t="shared" si="1"/>
        <v>50</v>
      </c>
      <c r="M56" s="11">
        <f t="shared" si="6"/>
        <v>42.857142857142854</v>
      </c>
      <c r="N56" s="13">
        <f t="shared" si="2"/>
        <v>-7.1357856435707205</v>
      </c>
      <c r="O56" s="13">
        <f t="shared" si="3"/>
        <v>0.06428635714928715</v>
      </c>
      <c r="P56" s="13">
        <f t="shared" si="4"/>
        <v>8.614371858004295</v>
      </c>
      <c r="Q56" s="13">
        <f t="shared" si="5"/>
        <v>15.814443858724303</v>
      </c>
    </row>
    <row r="57" spans="6:17" ht="12">
      <c r="F57" t="s">
        <v>70</v>
      </c>
      <c r="J57" s="3">
        <v>55</v>
      </c>
      <c r="K57" s="6">
        <f t="shared" si="0"/>
        <v>0.7857142857142857</v>
      </c>
      <c r="L57" s="4">
        <f t="shared" si="1"/>
        <v>51.25</v>
      </c>
      <c r="M57" s="11">
        <f t="shared" si="6"/>
        <v>43.92857142857142</v>
      </c>
      <c r="N57" s="13">
        <f t="shared" si="2"/>
        <v>-7.617933322190362</v>
      </c>
      <c r="O57" s="13">
        <f t="shared" si="3"/>
        <v>-0.41786132147035526</v>
      </c>
      <c r="P57" s="13">
        <f t="shared" si="4"/>
        <v>8.132224179384654</v>
      </c>
      <c r="Q57" s="13">
        <f t="shared" si="5"/>
        <v>15.332296180104661</v>
      </c>
    </row>
    <row r="58" spans="1:17" ht="18">
      <c r="A58" s="12" t="s">
        <v>41</v>
      </c>
      <c r="F58" s="12" t="s">
        <v>52</v>
      </c>
      <c r="H58" s="12">
        <v>2.2222</v>
      </c>
      <c r="J58" s="3">
        <v>56</v>
      </c>
      <c r="K58" s="6">
        <f t="shared" si="0"/>
        <v>0.8</v>
      </c>
      <c r="L58" s="4">
        <f t="shared" si="1"/>
        <v>52.5</v>
      </c>
      <c r="M58" s="11">
        <f t="shared" si="6"/>
        <v>45</v>
      </c>
      <c r="N58" s="13">
        <f t="shared" si="2"/>
        <v>-8.100081000810007</v>
      </c>
      <c r="O58" s="13">
        <f t="shared" si="3"/>
        <v>-0.900009000090001</v>
      </c>
      <c r="P58" s="13">
        <f t="shared" si="4"/>
        <v>7.650076500765008</v>
      </c>
      <c r="Q58" s="13">
        <f t="shared" si="5"/>
        <v>14.850148501485014</v>
      </c>
    </row>
    <row r="59" spans="10:17" ht="12">
      <c r="J59" s="3">
        <v>57</v>
      </c>
      <c r="K59" s="6">
        <f t="shared" si="0"/>
        <v>0.8142857142857143</v>
      </c>
      <c r="L59" s="4">
        <f t="shared" si="1"/>
        <v>53.75</v>
      </c>
      <c r="M59" s="11">
        <f t="shared" si="6"/>
        <v>46.07142857142857</v>
      </c>
      <c r="N59" s="13">
        <f t="shared" si="2"/>
        <v>-8.582228679429651</v>
      </c>
      <c r="O59" s="13">
        <f t="shared" si="3"/>
        <v>-1.3821566787096433</v>
      </c>
      <c r="P59" s="13">
        <f t="shared" si="4"/>
        <v>7.167928822145365</v>
      </c>
      <c r="Q59" s="13">
        <f t="shared" si="5"/>
        <v>14.368000822865373</v>
      </c>
    </row>
    <row r="60" spans="2:17" ht="12">
      <c r="B60" s="10" t="s">
        <v>62</v>
      </c>
      <c r="C60" s="10" t="s">
        <v>63</v>
      </c>
      <c r="D60" s="10" t="s">
        <v>64</v>
      </c>
      <c r="E60" s="10" t="s">
        <v>65</v>
      </c>
      <c r="F60" s="10" t="s">
        <v>66</v>
      </c>
      <c r="G60" s="10" t="s">
        <v>67</v>
      </c>
      <c r="H60" s="10" t="s">
        <v>76</v>
      </c>
      <c r="J60" s="3">
        <v>58</v>
      </c>
      <c r="K60" s="6">
        <f t="shared" si="0"/>
        <v>0.8285714285714286</v>
      </c>
      <c r="L60" s="4">
        <f t="shared" si="1"/>
        <v>55</v>
      </c>
      <c r="M60" s="11">
        <f t="shared" si="6"/>
        <v>47.14285714285714</v>
      </c>
      <c r="N60" s="13">
        <f t="shared" si="2"/>
        <v>-9.064376358049293</v>
      </c>
      <c r="O60" s="13">
        <f t="shared" si="3"/>
        <v>-1.864304357329286</v>
      </c>
      <c r="P60" s="13">
        <f t="shared" si="4"/>
        <v>6.685781143525723</v>
      </c>
      <c r="Q60" s="13">
        <f t="shared" si="5"/>
        <v>13.885853144245731</v>
      </c>
    </row>
    <row r="61" spans="1:17" ht="12">
      <c r="A61" s="3" t="s">
        <v>42</v>
      </c>
      <c r="B61">
        <v>25</v>
      </c>
      <c r="C61">
        <v>30</v>
      </c>
      <c r="D61">
        <v>40</v>
      </c>
      <c r="E61">
        <v>35</v>
      </c>
      <c r="F61">
        <v>50</v>
      </c>
      <c r="G61">
        <v>50</v>
      </c>
      <c r="H61">
        <v>70</v>
      </c>
      <c r="J61" s="3">
        <v>59</v>
      </c>
      <c r="K61" s="6">
        <f t="shared" si="0"/>
        <v>0.8428571428571429</v>
      </c>
      <c r="L61" s="4">
        <f t="shared" si="1"/>
        <v>56.25</v>
      </c>
      <c r="M61" s="11">
        <f t="shared" si="6"/>
        <v>48.21428571428571</v>
      </c>
      <c r="N61" s="13">
        <f t="shared" si="2"/>
        <v>-9.546524036668936</v>
      </c>
      <c r="O61" s="13">
        <f t="shared" si="3"/>
        <v>-2.346452035948928</v>
      </c>
      <c r="P61" s="13">
        <f t="shared" si="4"/>
        <v>6.203633464906081</v>
      </c>
      <c r="Q61" s="13">
        <f t="shared" si="5"/>
        <v>13.403705465626087</v>
      </c>
    </row>
    <row r="62" spans="1:17" ht="12">
      <c r="A62" s="3" t="s">
        <v>43</v>
      </c>
      <c r="B62">
        <v>30</v>
      </c>
      <c r="C62">
        <v>30</v>
      </c>
      <c r="D62">
        <v>25</v>
      </c>
      <c r="E62">
        <v>30</v>
      </c>
      <c r="F62">
        <v>15</v>
      </c>
      <c r="G62">
        <v>20</v>
      </c>
      <c r="H62">
        <v>0</v>
      </c>
      <c r="J62" s="3">
        <v>60</v>
      </c>
      <c r="K62" s="6">
        <f t="shared" si="0"/>
        <v>0.8571428571428571</v>
      </c>
      <c r="L62" s="4">
        <f t="shared" si="1"/>
        <v>57.5</v>
      </c>
      <c r="M62" s="11">
        <f t="shared" si="6"/>
        <v>49.285714285714285</v>
      </c>
      <c r="N62" s="13">
        <f t="shared" si="2"/>
        <v>-10.028671715288581</v>
      </c>
      <c r="O62" s="13">
        <f t="shared" si="3"/>
        <v>-2.8285997145685737</v>
      </c>
      <c r="P62" s="13">
        <f t="shared" si="4"/>
        <v>5.721485786286435</v>
      </c>
      <c r="Q62" s="13">
        <f t="shared" si="5"/>
        <v>12.921557787006442</v>
      </c>
    </row>
    <row r="63" spans="1:17" ht="12">
      <c r="A63" s="3" t="s">
        <v>44</v>
      </c>
      <c r="B63">
        <v>15</v>
      </c>
      <c r="C63">
        <v>10</v>
      </c>
      <c r="D63">
        <v>5</v>
      </c>
      <c r="E63">
        <v>5</v>
      </c>
      <c r="F63">
        <v>5</v>
      </c>
      <c r="G63">
        <v>0</v>
      </c>
      <c r="H63">
        <v>0</v>
      </c>
      <c r="J63" s="3">
        <v>61</v>
      </c>
      <c r="K63" s="6">
        <f t="shared" si="0"/>
        <v>0.8714285714285714</v>
      </c>
      <c r="L63" s="4">
        <f t="shared" si="1"/>
        <v>58.75</v>
      </c>
      <c r="M63" s="11">
        <f t="shared" si="6"/>
        <v>50.357142857142854</v>
      </c>
      <c r="N63" s="13">
        <f t="shared" si="2"/>
        <v>-10.510819393908223</v>
      </c>
      <c r="O63" s="13">
        <f t="shared" si="3"/>
        <v>-3.3107473931882163</v>
      </c>
      <c r="P63" s="13">
        <f t="shared" si="4"/>
        <v>5.239338107666793</v>
      </c>
      <c r="Q63" s="13">
        <f t="shared" si="5"/>
        <v>12.4394101083868</v>
      </c>
    </row>
    <row r="64" spans="10:17" ht="12">
      <c r="J64" s="3">
        <v>62</v>
      </c>
      <c r="K64" s="6">
        <f t="shared" si="0"/>
        <v>0.8857142857142857</v>
      </c>
      <c r="L64" s="4">
        <f t="shared" si="1"/>
        <v>60</v>
      </c>
      <c r="M64" s="11">
        <f t="shared" si="6"/>
        <v>51.42857142857142</v>
      </c>
      <c r="N64" s="13">
        <f t="shared" si="2"/>
        <v>-10.992967072527867</v>
      </c>
      <c r="O64" s="13">
        <f t="shared" si="3"/>
        <v>-3.792895071807859</v>
      </c>
      <c r="P64" s="13">
        <f t="shared" si="4"/>
        <v>4.75719042904715</v>
      </c>
      <c r="Q64" s="13">
        <f t="shared" si="5"/>
        <v>11.957262429767157</v>
      </c>
    </row>
    <row r="65" spans="1:17" ht="12">
      <c r="A65" s="3" t="s">
        <v>75</v>
      </c>
      <c r="B65" s="13">
        <f aca="true" t="shared" si="8" ref="B65:G65">(B61-(1/4*B62))*Multiplier</f>
        <v>15.217391304347826</v>
      </c>
      <c r="C65" s="13">
        <f t="shared" si="8"/>
        <v>19.565217391304348</v>
      </c>
      <c r="D65" s="13">
        <f t="shared" si="8"/>
        <v>29.34782608695652</v>
      </c>
      <c r="E65" s="13">
        <f t="shared" si="8"/>
        <v>23.913043478260867</v>
      </c>
      <c r="F65" s="13">
        <f t="shared" si="8"/>
        <v>40.21739130434783</v>
      </c>
      <c r="G65" s="13">
        <f t="shared" si="8"/>
        <v>39.130434782608695</v>
      </c>
      <c r="H65" s="13">
        <v>60</v>
      </c>
      <c r="J65" s="3">
        <v>63</v>
      </c>
      <c r="K65" s="6">
        <f t="shared" si="0"/>
        <v>0.9</v>
      </c>
      <c r="L65" s="4">
        <f t="shared" si="1"/>
        <v>61.25</v>
      </c>
      <c r="M65" s="11">
        <f t="shared" si="6"/>
        <v>52.5</v>
      </c>
      <c r="N65" s="13">
        <f t="shared" si="2"/>
        <v>-11.475114751147512</v>
      </c>
      <c r="O65" s="13">
        <f t="shared" si="3"/>
        <v>-4.275042750427504</v>
      </c>
      <c r="P65" s="13">
        <f t="shared" si="4"/>
        <v>4.275042750427504</v>
      </c>
      <c r="Q65" s="13">
        <f t="shared" si="5"/>
        <v>11.475114751147512</v>
      </c>
    </row>
    <row r="66" spans="10:17" ht="12">
      <c r="J66" s="3">
        <v>64</v>
      </c>
      <c r="K66" s="6">
        <f t="shared" si="0"/>
        <v>0.9142857142857143</v>
      </c>
      <c r="L66" s="4">
        <f t="shared" si="1"/>
        <v>62.5</v>
      </c>
      <c r="M66" s="11">
        <f t="shared" si="6"/>
        <v>53.57142857142857</v>
      </c>
      <c r="N66" s="13">
        <f t="shared" si="2"/>
        <v>-11.957262429767153</v>
      </c>
      <c r="O66" s="13">
        <f t="shared" si="3"/>
        <v>-4.757190429047147</v>
      </c>
      <c r="P66" s="13">
        <f t="shared" si="4"/>
        <v>3.792895071807862</v>
      </c>
      <c r="Q66" s="13">
        <f t="shared" si="5"/>
        <v>10.99296707252787</v>
      </c>
    </row>
    <row r="67" spans="1:17" ht="12">
      <c r="A67" s="3" t="s">
        <v>45</v>
      </c>
      <c r="B67">
        <v>2</v>
      </c>
      <c r="C67">
        <v>3</v>
      </c>
      <c r="D67">
        <v>5</v>
      </c>
      <c r="E67">
        <v>6</v>
      </c>
      <c r="F67">
        <v>3</v>
      </c>
      <c r="G67">
        <v>7</v>
      </c>
      <c r="H67">
        <v>9</v>
      </c>
      <c r="J67" s="3">
        <v>65</v>
      </c>
      <c r="K67" s="6">
        <f aca="true" t="shared" si="9" ref="K67:K72">J67/70</f>
        <v>0.9285714285714286</v>
      </c>
      <c r="L67" s="4">
        <f aca="true" t="shared" si="10" ref="L67:L72">J67-1/4*(70-J67)</f>
        <v>63.75</v>
      </c>
      <c r="M67" s="11">
        <f t="shared" si="6"/>
        <v>54.64285714285714</v>
      </c>
      <c r="N67" s="13">
        <f aca="true" t="shared" si="11" ref="N67:N72">(Min2-$M67)/Essay_Weight</f>
        <v>-12.439410108386797</v>
      </c>
      <c r="O67" s="13">
        <f aca="true" t="shared" si="12" ref="O67:O72">(Min3-$M67)/Essay_Weight</f>
        <v>-5.239338107666789</v>
      </c>
      <c r="P67" s="13">
        <f aca="true" t="shared" si="13" ref="P67:P72">(Min4-$M67)/Essay_Weight</f>
        <v>3.3107473931882194</v>
      </c>
      <c r="Q67" s="13">
        <f aca="true" t="shared" si="14" ref="Q67:Q72">(Min5-$M67)/Essay_Weight</f>
        <v>10.510819393908227</v>
      </c>
    </row>
    <row r="68" spans="1:17" ht="12">
      <c r="A68" s="3" t="s">
        <v>84</v>
      </c>
      <c r="B68">
        <v>2</v>
      </c>
      <c r="C68">
        <v>3</v>
      </c>
      <c r="D68">
        <v>4</v>
      </c>
      <c r="E68">
        <v>5</v>
      </c>
      <c r="F68">
        <v>3</v>
      </c>
      <c r="G68">
        <v>6</v>
      </c>
      <c r="H68">
        <v>9</v>
      </c>
      <c r="J68" s="3">
        <v>66</v>
      </c>
      <c r="K68" s="6">
        <f t="shared" si="9"/>
        <v>0.9428571428571428</v>
      </c>
      <c r="L68" s="4">
        <f t="shared" si="10"/>
        <v>65</v>
      </c>
      <c r="M68" s="11">
        <f t="shared" si="6"/>
        <v>55.71428571428571</v>
      </c>
      <c r="N68" s="13">
        <f t="shared" si="11"/>
        <v>-12.921557787006439</v>
      </c>
      <c r="O68" s="13">
        <f t="shared" si="12"/>
        <v>-5.721485786286432</v>
      </c>
      <c r="P68" s="13">
        <f t="shared" si="13"/>
        <v>2.828599714568577</v>
      </c>
      <c r="Q68" s="13">
        <f t="shared" si="14"/>
        <v>10.028671715288585</v>
      </c>
    </row>
    <row r="69" spans="1:17" ht="12">
      <c r="A69" s="3" t="s">
        <v>85</v>
      </c>
      <c r="B69">
        <v>1</v>
      </c>
      <c r="C69">
        <v>2</v>
      </c>
      <c r="D69">
        <v>3</v>
      </c>
      <c r="E69">
        <v>4</v>
      </c>
      <c r="F69">
        <v>2</v>
      </c>
      <c r="G69">
        <v>5</v>
      </c>
      <c r="H69">
        <v>9</v>
      </c>
      <c r="J69" s="3">
        <v>67</v>
      </c>
      <c r="K69" s="6">
        <f t="shared" si="9"/>
        <v>0.9571428571428572</v>
      </c>
      <c r="L69" s="4">
        <f t="shared" si="10"/>
        <v>66.25</v>
      </c>
      <c r="M69" s="11">
        <f t="shared" si="6"/>
        <v>56.785714285714285</v>
      </c>
      <c r="N69" s="13">
        <f t="shared" si="11"/>
        <v>-13.403705465626084</v>
      </c>
      <c r="O69" s="13">
        <f t="shared" si="12"/>
        <v>-6.203633464906077</v>
      </c>
      <c r="P69" s="13">
        <f t="shared" si="13"/>
        <v>2.3464520359489316</v>
      </c>
      <c r="Q69" s="13">
        <f t="shared" si="14"/>
        <v>9.546524036668938</v>
      </c>
    </row>
    <row r="70" spans="10:17" ht="12">
      <c r="J70" s="3">
        <v>68</v>
      </c>
      <c r="K70" s="6">
        <f t="shared" si="9"/>
        <v>0.9714285714285714</v>
      </c>
      <c r="L70" s="4">
        <f t="shared" si="10"/>
        <v>67.5</v>
      </c>
      <c r="M70" s="11">
        <f t="shared" si="6"/>
        <v>57.857142857142854</v>
      </c>
      <c r="N70" s="13">
        <f t="shared" si="11"/>
        <v>-13.885853144245727</v>
      </c>
      <c r="O70" s="13">
        <f t="shared" si="12"/>
        <v>-6.68578114352572</v>
      </c>
      <c r="P70" s="13">
        <f t="shared" si="13"/>
        <v>1.864304357329289</v>
      </c>
      <c r="Q70" s="13">
        <f t="shared" si="14"/>
        <v>9.064376358049296</v>
      </c>
    </row>
    <row r="71" spans="1:17" ht="12">
      <c r="A71" s="3" t="s">
        <v>49</v>
      </c>
      <c r="B71" s="13">
        <f>B67*Essay_Weight</f>
        <v>4.4444</v>
      </c>
      <c r="C71" s="13">
        <f aca="true" t="shared" si="15" ref="C71:D73">C67*Essay_Weight</f>
        <v>6.6666</v>
      </c>
      <c r="D71" s="13">
        <f t="shared" si="15"/>
        <v>11.111</v>
      </c>
      <c r="E71" s="13">
        <f aca="true" t="shared" si="16" ref="E71:G73">E67*Essay_Weight</f>
        <v>13.3332</v>
      </c>
      <c r="F71" s="13">
        <f t="shared" si="16"/>
        <v>6.6666</v>
      </c>
      <c r="G71" s="13">
        <f t="shared" si="16"/>
        <v>15.555399999999999</v>
      </c>
      <c r="H71" s="13">
        <f>H67*Essay_Weight</f>
        <v>19.9998</v>
      </c>
      <c r="J71" s="3">
        <v>69</v>
      </c>
      <c r="K71" s="6">
        <f t="shared" si="9"/>
        <v>0.9857142857142858</v>
      </c>
      <c r="L71" s="4">
        <f t="shared" si="10"/>
        <v>68.75</v>
      </c>
      <c r="M71" s="11">
        <f t="shared" si="6"/>
        <v>58.92857142857142</v>
      </c>
      <c r="N71" s="13">
        <f t="shared" si="11"/>
        <v>-14.368000822865369</v>
      </c>
      <c r="O71" s="13">
        <f t="shared" si="12"/>
        <v>-7.167928822145362</v>
      </c>
      <c r="P71" s="13">
        <f t="shared" si="13"/>
        <v>1.3821566787096466</v>
      </c>
      <c r="Q71" s="13">
        <f t="shared" si="14"/>
        <v>8.582228679429655</v>
      </c>
    </row>
    <row r="72" spans="1:17" ht="12">
      <c r="A72" s="3" t="s">
        <v>50</v>
      </c>
      <c r="B72" s="13">
        <f>B68*Essay_Weight</f>
        <v>4.4444</v>
      </c>
      <c r="C72" s="13">
        <f t="shared" si="15"/>
        <v>6.6666</v>
      </c>
      <c r="D72" s="13">
        <f t="shared" si="15"/>
        <v>8.8888</v>
      </c>
      <c r="E72" s="13">
        <f t="shared" si="16"/>
        <v>11.111</v>
      </c>
      <c r="F72" s="13">
        <f t="shared" si="16"/>
        <v>6.6666</v>
      </c>
      <c r="G72" s="13">
        <f t="shared" si="16"/>
        <v>13.3332</v>
      </c>
      <c r="H72" s="13">
        <f>H68*Essay_Weight</f>
        <v>19.9998</v>
      </c>
      <c r="J72" s="3">
        <v>70</v>
      </c>
      <c r="K72" s="6">
        <f t="shared" si="9"/>
        <v>1</v>
      </c>
      <c r="L72" s="4">
        <f t="shared" si="10"/>
        <v>70</v>
      </c>
      <c r="M72" s="11">
        <f t="shared" si="6"/>
        <v>60</v>
      </c>
      <c r="N72" s="13">
        <f t="shared" si="11"/>
        <v>-14.850148501485014</v>
      </c>
      <c r="O72" s="13">
        <f t="shared" si="12"/>
        <v>-7.650076500765008</v>
      </c>
      <c r="P72" s="13">
        <f t="shared" si="13"/>
        <v>0.900009000090001</v>
      </c>
      <c r="Q72" s="13">
        <f t="shared" si="14"/>
        <v>8.100081000810007</v>
      </c>
    </row>
    <row r="73" spans="1:8" ht="12">
      <c r="A73" s="3" t="s">
        <v>51</v>
      </c>
      <c r="B73" s="13">
        <f>B69*Essay_Weight</f>
        <v>2.2222</v>
      </c>
      <c r="C73" s="13">
        <f t="shared" si="15"/>
        <v>4.4444</v>
      </c>
      <c r="D73" s="13">
        <f t="shared" si="15"/>
        <v>6.6666</v>
      </c>
      <c r="E73" s="13">
        <f t="shared" si="16"/>
        <v>8.8888</v>
      </c>
      <c r="F73" s="13">
        <f t="shared" si="16"/>
        <v>4.4444</v>
      </c>
      <c r="G73" s="13">
        <f t="shared" si="16"/>
        <v>11.111</v>
      </c>
      <c r="H73" s="13">
        <f>H69*Essay_Weight</f>
        <v>19.9998</v>
      </c>
    </row>
    <row r="74" spans="2:8" ht="12">
      <c r="B74" s="13"/>
      <c r="C74" s="13"/>
      <c r="D74" s="13"/>
      <c r="E74" s="13"/>
      <c r="F74" s="13"/>
      <c r="G74" s="13"/>
      <c r="H74" s="13"/>
    </row>
    <row r="75" spans="1:8" ht="12">
      <c r="A75" s="3" t="s">
        <v>53</v>
      </c>
      <c r="B75" s="13">
        <f aca="true" t="shared" si="17" ref="B75:G75">SUM(B71:B73)</f>
        <v>11.111</v>
      </c>
      <c r="C75" s="13">
        <f t="shared" si="17"/>
        <v>17.7776</v>
      </c>
      <c r="D75" s="13">
        <f t="shared" si="17"/>
        <v>26.6664</v>
      </c>
      <c r="E75" s="13">
        <f t="shared" si="17"/>
        <v>33.333</v>
      </c>
      <c r="F75" s="13">
        <f t="shared" si="17"/>
        <v>17.7776</v>
      </c>
      <c r="G75" s="13">
        <f t="shared" si="17"/>
        <v>39.9996</v>
      </c>
      <c r="H75" s="13">
        <v>60</v>
      </c>
    </row>
    <row r="77" spans="1:8" ht="12">
      <c r="A77" s="3" t="s">
        <v>47</v>
      </c>
      <c r="B77" s="9">
        <f aca="true" t="shared" si="18" ref="B77:H77">B65+B75</f>
        <v>26.328391304347825</v>
      </c>
      <c r="C77" s="9">
        <f t="shared" si="18"/>
        <v>37.34281739130435</v>
      </c>
      <c r="D77" s="9">
        <f t="shared" si="18"/>
        <v>56.01422608695652</v>
      </c>
      <c r="E77" s="9">
        <f t="shared" si="18"/>
        <v>57.246043478260866</v>
      </c>
      <c r="F77" s="9">
        <f t="shared" si="18"/>
        <v>57.99499130434783</v>
      </c>
      <c r="G77" s="9">
        <f t="shared" si="18"/>
        <v>79.1300347826087</v>
      </c>
      <c r="H77" s="9">
        <f t="shared" si="18"/>
        <v>120</v>
      </c>
    </row>
    <row r="78" spans="1:8" ht="12">
      <c r="A78" s="3" t="s">
        <v>48</v>
      </c>
      <c r="B78">
        <v>1</v>
      </c>
      <c r="C78">
        <v>2</v>
      </c>
      <c r="D78">
        <v>3</v>
      </c>
      <c r="E78">
        <v>3</v>
      </c>
      <c r="F78">
        <v>3</v>
      </c>
      <c r="G78">
        <v>5</v>
      </c>
      <c r="H78">
        <v>5</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Q80"/>
  <sheetViews>
    <sheetView workbookViewId="0" topLeftCell="A39">
      <pane ySplit="480" topLeftCell="BM54" activePane="bottomLeft" state="split"/>
      <selection pane="topLeft" activeCell="A1" sqref="A1"/>
      <selection pane="bottomLeft" activeCell="Q72" sqref="Q72"/>
    </sheetView>
  </sheetViews>
  <sheetFormatPr defaultColWidth="9.00390625" defaultRowHeight="12"/>
  <cols>
    <col min="1" max="1" width="10.75390625" style="3" customWidth="1"/>
    <col min="2" max="8" width="10.75390625" style="0" customWidth="1"/>
    <col min="12" max="16" width="12.75390625" style="0" customWidth="1"/>
  </cols>
  <sheetData>
    <row r="1" spans="1:17" ht="12">
      <c r="A1" s="3" t="s">
        <v>18</v>
      </c>
      <c r="J1" s="3" t="s">
        <v>7</v>
      </c>
      <c r="K1" t="s">
        <v>8</v>
      </c>
      <c r="L1" t="s">
        <v>9</v>
      </c>
      <c r="M1" s="10" t="s">
        <v>59</v>
      </c>
      <c r="N1" s="10" t="s">
        <v>55</v>
      </c>
      <c r="O1" s="10" t="s">
        <v>56</v>
      </c>
      <c r="P1" s="10" t="s">
        <v>57</v>
      </c>
      <c r="Q1" t="s">
        <v>58</v>
      </c>
    </row>
    <row r="2" spans="1:17" ht="18">
      <c r="A2" s="3" t="s">
        <v>19</v>
      </c>
      <c r="C2" t="s">
        <v>25</v>
      </c>
      <c r="D2" s="14">
        <f>60/70</f>
        <v>0.8571428571428571</v>
      </c>
      <c r="G2" s="14">
        <f>60/70</f>
        <v>0.8571428571428571</v>
      </c>
      <c r="J2" s="3">
        <v>0</v>
      </c>
      <c r="K2" s="6">
        <f aca="true" t="shared" si="0" ref="K2:K33">J2/70</f>
        <v>0</v>
      </c>
      <c r="L2" s="4">
        <f aca="true" t="shared" si="1" ref="L2:L33">J2-1/4*(70-J2)</f>
        <v>-17.5</v>
      </c>
      <c r="M2" s="11">
        <v>0</v>
      </c>
      <c r="N2" s="13">
        <f aca="true" t="shared" si="2" ref="N2:N33">(Min2-$M2)/Essay_Weight</f>
        <v>12.150121501215013</v>
      </c>
      <c r="O2" s="13">
        <f aca="true" t="shared" si="3" ref="O2:O33">(Min3-$M2)/Essay_Weight</f>
        <v>19.35019350193502</v>
      </c>
      <c r="P2" s="13">
        <f aca="true" t="shared" si="4" ref="P2:P33">(Min4-$M2)/Essay_Weight</f>
        <v>27.000270002700027</v>
      </c>
      <c r="Q2" s="13">
        <f aca="true" t="shared" si="5" ref="Q2:Q33">(Min5-$M2)/Essay_Weight</f>
        <v>33.30033300333003</v>
      </c>
    </row>
    <row r="3" spans="1:17" ht="12">
      <c r="A3" s="3" t="s">
        <v>20</v>
      </c>
      <c r="J3" s="3">
        <v>1</v>
      </c>
      <c r="K3" s="6">
        <f t="shared" si="0"/>
        <v>0.014285714285714285</v>
      </c>
      <c r="L3" s="4">
        <f t="shared" si="1"/>
        <v>-16.25</v>
      </c>
      <c r="M3" s="11">
        <v>0</v>
      </c>
      <c r="N3" s="13">
        <f t="shared" si="2"/>
        <v>12.150121501215013</v>
      </c>
      <c r="O3" s="13">
        <f t="shared" si="3"/>
        <v>19.35019350193502</v>
      </c>
      <c r="P3" s="13">
        <f t="shared" si="4"/>
        <v>27.000270002700027</v>
      </c>
      <c r="Q3" s="13">
        <f t="shared" si="5"/>
        <v>33.30033300333003</v>
      </c>
    </row>
    <row r="4" spans="1:17" ht="12">
      <c r="A4" s="3" t="s">
        <v>21</v>
      </c>
      <c r="D4" s="15"/>
      <c r="J4" s="3">
        <v>2</v>
      </c>
      <c r="K4" s="6">
        <f t="shared" si="0"/>
        <v>0.02857142857142857</v>
      </c>
      <c r="L4" s="4">
        <f t="shared" si="1"/>
        <v>-15</v>
      </c>
      <c r="M4" s="11">
        <v>0</v>
      </c>
      <c r="N4" s="13">
        <f t="shared" si="2"/>
        <v>12.150121501215013</v>
      </c>
      <c r="O4" s="13">
        <f t="shared" si="3"/>
        <v>19.35019350193502</v>
      </c>
      <c r="P4" s="13">
        <f t="shared" si="4"/>
        <v>27.000270002700027</v>
      </c>
      <c r="Q4" s="13">
        <f t="shared" si="5"/>
        <v>33.30033300333003</v>
      </c>
    </row>
    <row r="5" spans="5:17" ht="18">
      <c r="E5" s="12" t="s">
        <v>26</v>
      </c>
      <c r="J5" s="3">
        <v>3</v>
      </c>
      <c r="K5" s="6">
        <f t="shared" si="0"/>
        <v>0.04285714285714286</v>
      </c>
      <c r="L5" s="4">
        <f t="shared" si="1"/>
        <v>-13.75</v>
      </c>
      <c r="M5" s="11">
        <v>0</v>
      </c>
      <c r="N5" s="13">
        <f t="shared" si="2"/>
        <v>12.150121501215013</v>
      </c>
      <c r="O5" s="13">
        <f t="shared" si="3"/>
        <v>19.35019350193502</v>
      </c>
      <c r="P5" s="13">
        <f t="shared" si="4"/>
        <v>27.000270002700027</v>
      </c>
      <c r="Q5" s="13">
        <f t="shared" si="5"/>
        <v>33.30033300333003</v>
      </c>
    </row>
    <row r="6" spans="2:17" ht="12">
      <c r="B6" s="8">
        <v>0.062</v>
      </c>
      <c r="C6" s="8">
        <v>0.196</v>
      </c>
      <c r="D6" s="8">
        <v>0.268</v>
      </c>
      <c r="E6" s="8">
        <v>0.26</v>
      </c>
      <c r="F6" s="8">
        <v>0.175</v>
      </c>
      <c r="G6" s="8">
        <v>0.039</v>
      </c>
      <c r="H6" s="8">
        <v>1</v>
      </c>
      <c r="J6" s="3">
        <v>4</v>
      </c>
      <c r="K6" s="6">
        <f t="shared" si="0"/>
        <v>0.05714285714285714</v>
      </c>
      <c r="L6" s="4">
        <f t="shared" si="1"/>
        <v>-12.5</v>
      </c>
      <c r="M6" s="11">
        <v>0</v>
      </c>
      <c r="N6" s="13">
        <f t="shared" si="2"/>
        <v>12.150121501215013</v>
      </c>
      <c r="O6" s="13">
        <f t="shared" si="3"/>
        <v>19.35019350193502</v>
      </c>
      <c r="P6" s="13">
        <f t="shared" si="4"/>
        <v>27.000270002700027</v>
      </c>
      <c r="Q6" s="13">
        <f t="shared" si="5"/>
        <v>33.30033300333003</v>
      </c>
    </row>
    <row r="7" spans="2:17" ht="12">
      <c r="B7" s="1" t="s">
        <v>4</v>
      </c>
      <c r="C7" s="7" t="s">
        <v>6</v>
      </c>
      <c r="D7" s="2" t="s">
        <v>3</v>
      </c>
      <c r="E7" s="2" t="s">
        <v>2</v>
      </c>
      <c r="F7" s="2" t="s">
        <v>1</v>
      </c>
      <c r="G7" s="2" t="s">
        <v>0</v>
      </c>
      <c r="H7" s="2" t="s">
        <v>5</v>
      </c>
      <c r="J7" s="3">
        <v>5</v>
      </c>
      <c r="K7" s="6">
        <f t="shared" si="0"/>
        <v>0.07142857142857142</v>
      </c>
      <c r="L7" s="4">
        <f t="shared" si="1"/>
        <v>-11.25</v>
      </c>
      <c r="M7" s="11">
        <v>0</v>
      </c>
      <c r="N7" s="13">
        <f t="shared" si="2"/>
        <v>12.150121501215013</v>
      </c>
      <c r="O7" s="13">
        <f t="shared" si="3"/>
        <v>19.35019350193502</v>
      </c>
      <c r="P7" s="13">
        <f t="shared" si="4"/>
        <v>27.000270002700027</v>
      </c>
      <c r="Q7" s="13">
        <f t="shared" si="5"/>
        <v>33.30033300333003</v>
      </c>
    </row>
    <row r="8" spans="1:17" ht="12">
      <c r="A8" s="3">
        <v>1</v>
      </c>
      <c r="B8" s="9">
        <v>99.3</v>
      </c>
      <c r="C8" s="9">
        <v>69.3</v>
      </c>
      <c r="D8" s="9">
        <v>6.4</v>
      </c>
      <c r="E8" s="9">
        <v>0</v>
      </c>
      <c r="F8" s="9">
        <v>0</v>
      </c>
      <c r="G8" s="9">
        <v>0</v>
      </c>
      <c r="H8">
        <v>21.5</v>
      </c>
      <c r="J8" s="3">
        <v>6</v>
      </c>
      <c r="K8" s="6">
        <f t="shared" si="0"/>
        <v>0.08571428571428572</v>
      </c>
      <c r="L8" s="4">
        <f t="shared" si="1"/>
        <v>-10</v>
      </c>
      <c r="M8" s="11">
        <v>0</v>
      </c>
      <c r="N8" s="13">
        <f t="shared" si="2"/>
        <v>12.150121501215013</v>
      </c>
      <c r="O8" s="13">
        <f t="shared" si="3"/>
        <v>19.35019350193502</v>
      </c>
      <c r="P8" s="13">
        <f t="shared" si="4"/>
        <v>27.000270002700027</v>
      </c>
      <c r="Q8" s="13">
        <f t="shared" si="5"/>
        <v>33.30033300333003</v>
      </c>
    </row>
    <row r="9" spans="1:17" ht="12">
      <c r="A9" s="3">
        <v>2</v>
      </c>
      <c r="B9" s="9">
        <v>0.8</v>
      </c>
      <c r="C9" s="9">
        <v>29.4</v>
      </c>
      <c r="D9" s="9">
        <v>60.3</v>
      </c>
      <c r="E9" s="9">
        <v>9.2</v>
      </c>
      <c r="F9" s="9">
        <v>0.1</v>
      </c>
      <c r="G9" s="9">
        <v>0</v>
      </c>
      <c r="H9">
        <v>24.4</v>
      </c>
      <c r="J9" s="3">
        <v>7</v>
      </c>
      <c r="K9" s="6">
        <f t="shared" si="0"/>
        <v>0.1</v>
      </c>
      <c r="L9" s="4">
        <f t="shared" si="1"/>
        <v>-8.75</v>
      </c>
      <c r="M9" s="11">
        <v>0</v>
      </c>
      <c r="N9" s="13">
        <f t="shared" si="2"/>
        <v>12.150121501215013</v>
      </c>
      <c r="O9" s="13">
        <f t="shared" si="3"/>
        <v>19.35019350193502</v>
      </c>
      <c r="P9" s="13">
        <f t="shared" si="4"/>
        <v>27.000270002700027</v>
      </c>
      <c r="Q9" s="13">
        <f t="shared" si="5"/>
        <v>33.30033300333003</v>
      </c>
    </row>
    <row r="10" spans="1:17" ht="12">
      <c r="A10" s="3">
        <v>3</v>
      </c>
      <c r="B10" s="9">
        <v>0</v>
      </c>
      <c r="C10" s="9">
        <v>1.3</v>
      </c>
      <c r="D10" s="9">
        <v>31.9</v>
      </c>
      <c r="E10" s="9">
        <v>58.6</v>
      </c>
      <c r="F10" s="9">
        <v>12.2</v>
      </c>
      <c r="G10" s="9">
        <v>0.3</v>
      </c>
      <c r="H10">
        <v>26.1</v>
      </c>
      <c r="J10" s="3">
        <v>8</v>
      </c>
      <c r="K10" s="6">
        <f t="shared" si="0"/>
        <v>0.11428571428571428</v>
      </c>
      <c r="L10" s="4">
        <f t="shared" si="1"/>
        <v>-7.5</v>
      </c>
      <c r="M10" s="11">
        <v>0</v>
      </c>
      <c r="N10" s="13">
        <f t="shared" si="2"/>
        <v>12.150121501215013</v>
      </c>
      <c r="O10" s="13">
        <f t="shared" si="3"/>
        <v>19.35019350193502</v>
      </c>
      <c r="P10" s="13">
        <f t="shared" si="4"/>
        <v>27.000270002700027</v>
      </c>
      <c r="Q10" s="13">
        <f t="shared" si="5"/>
        <v>33.30033300333003</v>
      </c>
    </row>
    <row r="11" spans="1:17" ht="12">
      <c r="A11" s="3">
        <v>4</v>
      </c>
      <c r="B11" s="9">
        <v>0</v>
      </c>
      <c r="C11" s="9">
        <v>0</v>
      </c>
      <c r="D11" s="9">
        <v>1.5</v>
      </c>
      <c r="E11" s="9">
        <v>29.6</v>
      </c>
      <c r="F11" s="9">
        <v>48.1</v>
      </c>
      <c r="G11" s="9">
        <v>8.7</v>
      </c>
      <c r="H11">
        <v>16.9</v>
      </c>
      <c r="J11" s="3">
        <v>9</v>
      </c>
      <c r="K11" s="6">
        <f t="shared" si="0"/>
        <v>0.12857142857142856</v>
      </c>
      <c r="L11" s="4">
        <f t="shared" si="1"/>
        <v>-6.25</v>
      </c>
      <c r="M11" s="11">
        <v>0</v>
      </c>
      <c r="N11" s="13">
        <f t="shared" si="2"/>
        <v>12.150121501215013</v>
      </c>
      <c r="O11" s="13">
        <f t="shared" si="3"/>
        <v>19.35019350193502</v>
      </c>
      <c r="P11" s="13">
        <f t="shared" si="4"/>
        <v>27.000270002700027</v>
      </c>
      <c r="Q11" s="13">
        <f t="shared" si="5"/>
        <v>33.30033300333003</v>
      </c>
    </row>
    <row r="12" spans="1:17" ht="12">
      <c r="A12" s="3">
        <v>5</v>
      </c>
      <c r="B12" s="9">
        <v>0</v>
      </c>
      <c r="C12" s="9">
        <v>0</v>
      </c>
      <c r="D12" s="9">
        <v>0</v>
      </c>
      <c r="E12" s="9">
        <v>2.5</v>
      </c>
      <c r="F12" s="9">
        <v>39.7</v>
      </c>
      <c r="G12" s="9">
        <v>91</v>
      </c>
      <c r="H12">
        <v>11.2</v>
      </c>
      <c r="J12" s="3">
        <v>10</v>
      </c>
      <c r="K12" s="6">
        <f t="shared" si="0"/>
        <v>0.14285714285714285</v>
      </c>
      <c r="L12" s="4">
        <f t="shared" si="1"/>
        <v>-5</v>
      </c>
      <c r="M12" s="11">
        <v>0</v>
      </c>
      <c r="N12" s="13">
        <f t="shared" si="2"/>
        <v>12.150121501215013</v>
      </c>
      <c r="O12" s="13">
        <f t="shared" si="3"/>
        <v>19.35019350193502</v>
      </c>
      <c r="P12" s="13">
        <f t="shared" si="4"/>
        <v>27.000270002700027</v>
      </c>
      <c r="Q12" s="13">
        <f t="shared" si="5"/>
        <v>33.30033300333003</v>
      </c>
    </row>
    <row r="13" spans="10:17" ht="12">
      <c r="J13" s="3">
        <v>11</v>
      </c>
      <c r="K13" s="6">
        <f t="shared" si="0"/>
        <v>0.15714285714285714</v>
      </c>
      <c r="L13" s="4">
        <f t="shared" si="1"/>
        <v>-3.75</v>
      </c>
      <c r="M13" s="11">
        <v>0</v>
      </c>
      <c r="N13" s="13">
        <f t="shared" si="2"/>
        <v>12.150121501215013</v>
      </c>
      <c r="O13" s="13">
        <f t="shared" si="3"/>
        <v>19.35019350193502</v>
      </c>
      <c r="P13" s="13">
        <f t="shared" si="4"/>
        <v>27.000270002700027</v>
      </c>
      <c r="Q13" s="13">
        <f t="shared" si="5"/>
        <v>33.30033300333003</v>
      </c>
    </row>
    <row r="14" spans="2:17" ht="18">
      <c r="B14" s="3"/>
      <c r="C14" s="3"/>
      <c r="D14" s="3"/>
      <c r="E14" s="12" t="s">
        <v>23</v>
      </c>
      <c r="F14" s="3"/>
      <c r="G14" s="3"/>
      <c r="H14" s="3"/>
      <c r="J14" s="3">
        <v>12</v>
      </c>
      <c r="K14" s="6">
        <f t="shared" si="0"/>
        <v>0.17142857142857143</v>
      </c>
      <c r="L14" s="4">
        <f t="shared" si="1"/>
        <v>-2.5</v>
      </c>
      <c r="M14" s="11">
        <v>0</v>
      </c>
      <c r="N14" s="13">
        <f t="shared" si="2"/>
        <v>12.150121501215013</v>
      </c>
      <c r="O14" s="13">
        <f t="shared" si="3"/>
        <v>19.35019350193502</v>
      </c>
      <c r="P14" s="13">
        <f t="shared" si="4"/>
        <v>27.000270002700027</v>
      </c>
      <c r="Q14" s="13">
        <f t="shared" si="5"/>
        <v>33.30033300333003</v>
      </c>
    </row>
    <row r="15" spans="2:17" ht="12">
      <c r="B15" s="8">
        <v>0.062</v>
      </c>
      <c r="C15" s="8">
        <v>0.196</v>
      </c>
      <c r="D15" s="8">
        <v>0.268</v>
      </c>
      <c r="E15" s="8">
        <v>0.26</v>
      </c>
      <c r="F15" s="8">
        <v>0.175</v>
      </c>
      <c r="G15" s="8">
        <v>0.039</v>
      </c>
      <c r="H15" s="8">
        <v>1</v>
      </c>
      <c r="J15" s="3">
        <v>13</v>
      </c>
      <c r="K15" s="6">
        <f t="shared" si="0"/>
        <v>0.18571428571428572</v>
      </c>
      <c r="L15" s="4">
        <f t="shared" si="1"/>
        <v>-1.25</v>
      </c>
      <c r="M15" s="11">
        <v>0</v>
      </c>
      <c r="N15" s="13">
        <f t="shared" si="2"/>
        <v>12.150121501215013</v>
      </c>
      <c r="O15" s="13">
        <f t="shared" si="3"/>
        <v>19.35019350193502</v>
      </c>
      <c r="P15" s="13">
        <f t="shared" si="4"/>
        <v>27.000270002700027</v>
      </c>
      <c r="Q15" s="13">
        <f t="shared" si="5"/>
        <v>33.30033300333003</v>
      </c>
    </row>
    <row r="16" spans="2:17" ht="12">
      <c r="B16" s="2" t="s">
        <v>27</v>
      </c>
      <c r="C16" s="2" t="s">
        <v>28</v>
      </c>
      <c r="D16" s="2" t="s">
        <v>29</v>
      </c>
      <c r="E16" s="2" t="s">
        <v>30</v>
      </c>
      <c r="F16" s="2" t="s">
        <v>31</v>
      </c>
      <c r="G16" s="2" t="s">
        <v>32</v>
      </c>
      <c r="H16" s="2" t="s">
        <v>5</v>
      </c>
      <c r="J16" s="3">
        <v>14</v>
      </c>
      <c r="K16" s="6">
        <f t="shared" si="0"/>
        <v>0.2</v>
      </c>
      <c r="L16" s="4">
        <f t="shared" si="1"/>
        <v>0</v>
      </c>
      <c r="M16" s="11">
        <f>L16*Multiplier</f>
        <v>0</v>
      </c>
      <c r="N16" s="13">
        <f t="shared" si="2"/>
        <v>12.150121501215013</v>
      </c>
      <c r="O16" s="13">
        <f t="shared" si="3"/>
        <v>19.35019350193502</v>
      </c>
      <c r="P16" s="13">
        <f t="shared" si="4"/>
        <v>27.000270002700027</v>
      </c>
      <c r="Q16" s="13">
        <f t="shared" si="5"/>
        <v>33.30033300333003</v>
      </c>
    </row>
    <row r="17" spans="1:17" ht="12">
      <c r="A17" s="3">
        <v>1</v>
      </c>
      <c r="B17" s="9">
        <v>99.3</v>
      </c>
      <c r="C17" s="9">
        <v>69.3</v>
      </c>
      <c r="D17" s="9">
        <v>6.4</v>
      </c>
      <c r="E17" s="9">
        <v>0</v>
      </c>
      <c r="F17" s="9">
        <v>0</v>
      </c>
      <c r="G17" s="9">
        <v>0</v>
      </c>
      <c r="H17">
        <v>21.5</v>
      </c>
      <c r="J17" s="3">
        <v>15</v>
      </c>
      <c r="K17" s="6">
        <f t="shared" si="0"/>
        <v>0.21428571428571427</v>
      </c>
      <c r="L17" s="4">
        <f t="shared" si="1"/>
        <v>1.25</v>
      </c>
      <c r="M17" s="11">
        <f aca="true" t="shared" si="6" ref="M17:M48">L17*Generic_MC_Weight</f>
        <v>1.0714285714285714</v>
      </c>
      <c r="N17" s="13">
        <f t="shared" si="2"/>
        <v>11.667973822595368</v>
      </c>
      <c r="O17" s="13">
        <f t="shared" si="3"/>
        <v>18.868045823315377</v>
      </c>
      <c r="P17" s="13">
        <f t="shared" si="4"/>
        <v>26.518122324080384</v>
      </c>
      <c r="Q17" s="13">
        <f t="shared" si="5"/>
        <v>32.81818532471039</v>
      </c>
    </row>
    <row r="18" spans="1:17" ht="12">
      <c r="A18" s="3">
        <v>2</v>
      </c>
      <c r="B18" s="9">
        <v>0.8</v>
      </c>
      <c r="C18" s="9">
        <v>29.4</v>
      </c>
      <c r="D18" s="9">
        <v>60.3</v>
      </c>
      <c r="E18" s="9">
        <v>9.2</v>
      </c>
      <c r="F18" s="9">
        <v>0.1</v>
      </c>
      <c r="G18" s="9">
        <v>0</v>
      </c>
      <c r="H18">
        <v>24.4</v>
      </c>
      <c r="J18" s="3">
        <v>16</v>
      </c>
      <c r="K18" s="6">
        <f t="shared" si="0"/>
        <v>0.22857142857142856</v>
      </c>
      <c r="L18" s="4">
        <f t="shared" si="1"/>
        <v>2.5</v>
      </c>
      <c r="M18" s="11">
        <f t="shared" si="6"/>
        <v>2.142857142857143</v>
      </c>
      <c r="N18" s="13">
        <f t="shared" si="2"/>
        <v>11.185826143975726</v>
      </c>
      <c r="O18" s="13">
        <f t="shared" si="3"/>
        <v>18.38589814469573</v>
      </c>
      <c r="P18" s="13">
        <f t="shared" si="4"/>
        <v>26.03597464546074</v>
      </c>
      <c r="Q18" s="13">
        <f t="shared" si="5"/>
        <v>32.33603764609075</v>
      </c>
    </row>
    <row r="19" spans="1:17" ht="12">
      <c r="A19" s="3">
        <v>3</v>
      </c>
      <c r="B19" s="9">
        <v>0</v>
      </c>
      <c r="C19" s="9">
        <v>1.3</v>
      </c>
      <c r="D19" s="9">
        <v>31.9</v>
      </c>
      <c r="E19" s="9">
        <v>58.6</v>
      </c>
      <c r="F19" s="9">
        <v>12.2</v>
      </c>
      <c r="G19" s="9">
        <v>0.3</v>
      </c>
      <c r="H19">
        <v>26.1</v>
      </c>
      <c r="J19" s="3">
        <v>17</v>
      </c>
      <c r="K19" s="6">
        <f t="shared" si="0"/>
        <v>0.24285714285714285</v>
      </c>
      <c r="L19" s="4">
        <f t="shared" si="1"/>
        <v>3.75</v>
      </c>
      <c r="M19" s="11">
        <f t="shared" si="6"/>
        <v>3.214285714285714</v>
      </c>
      <c r="N19" s="13">
        <f t="shared" si="2"/>
        <v>10.703678465356083</v>
      </c>
      <c r="O19" s="13">
        <f t="shared" si="3"/>
        <v>17.90375046607609</v>
      </c>
      <c r="P19" s="13">
        <f t="shared" si="4"/>
        <v>25.553826966841097</v>
      </c>
      <c r="Q19" s="13">
        <f t="shared" si="5"/>
        <v>31.85388996747111</v>
      </c>
    </row>
    <row r="20" spans="1:17" s="3" customFormat="1" ht="12">
      <c r="A20" s="3">
        <v>4</v>
      </c>
      <c r="B20" s="9">
        <v>0</v>
      </c>
      <c r="C20" s="9">
        <v>0</v>
      </c>
      <c r="D20" s="9">
        <v>1.5</v>
      </c>
      <c r="E20" s="9">
        <v>29.6</v>
      </c>
      <c r="F20" s="9">
        <v>48.1</v>
      </c>
      <c r="G20" s="9">
        <v>8.7</v>
      </c>
      <c r="H20">
        <v>16.9</v>
      </c>
      <c r="J20" s="3">
        <v>18</v>
      </c>
      <c r="K20" s="6">
        <f t="shared" si="0"/>
        <v>0.2571428571428571</v>
      </c>
      <c r="L20" s="4">
        <f t="shared" si="1"/>
        <v>5</v>
      </c>
      <c r="M20" s="11">
        <f t="shared" si="6"/>
        <v>4.285714285714286</v>
      </c>
      <c r="N20" s="13">
        <f t="shared" si="2"/>
        <v>10.221530786736439</v>
      </c>
      <c r="O20" s="13">
        <f t="shared" si="3"/>
        <v>17.421602787456447</v>
      </c>
      <c r="P20" s="13">
        <f t="shared" si="4"/>
        <v>25.071679288221453</v>
      </c>
      <c r="Q20" s="13">
        <f t="shared" si="5"/>
        <v>31.371742288851458</v>
      </c>
    </row>
    <row r="21" spans="1:17" s="3" customFormat="1" ht="12">
      <c r="A21" s="3">
        <v>5</v>
      </c>
      <c r="B21" s="9">
        <v>0</v>
      </c>
      <c r="C21" s="9">
        <v>0</v>
      </c>
      <c r="D21" s="9">
        <v>0</v>
      </c>
      <c r="E21" s="9">
        <v>2.5</v>
      </c>
      <c r="F21" s="9">
        <v>39.7</v>
      </c>
      <c r="G21" s="9">
        <v>91</v>
      </c>
      <c r="H21">
        <v>11.2</v>
      </c>
      <c r="J21" s="3">
        <v>19</v>
      </c>
      <c r="K21" s="6">
        <f t="shared" si="0"/>
        <v>0.2714285714285714</v>
      </c>
      <c r="L21" s="4">
        <f t="shared" si="1"/>
        <v>6.25</v>
      </c>
      <c r="M21" s="11">
        <f t="shared" si="6"/>
        <v>5.357142857142857</v>
      </c>
      <c r="N21" s="13">
        <f t="shared" si="2"/>
        <v>9.739383108116796</v>
      </c>
      <c r="O21" s="13">
        <f t="shared" si="3"/>
        <v>16.939455108836803</v>
      </c>
      <c r="P21" s="13">
        <f t="shared" si="4"/>
        <v>24.589531609601813</v>
      </c>
      <c r="Q21" s="13">
        <f t="shared" si="5"/>
        <v>30.889594610231814</v>
      </c>
    </row>
    <row r="22" spans="1:17" ht="12">
      <c r="A22"/>
      <c r="J22" s="3">
        <v>20</v>
      </c>
      <c r="K22" s="6">
        <f t="shared" si="0"/>
        <v>0.2857142857142857</v>
      </c>
      <c r="L22" s="4">
        <f t="shared" si="1"/>
        <v>7.5</v>
      </c>
      <c r="M22" s="11">
        <f t="shared" si="6"/>
        <v>6.428571428571428</v>
      </c>
      <c r="N22" s="13">
        <f t="shared" si="2"/>
        <v>9.257235429497152</v>
      </c>
      <c r="O22" s="13">
        <f t="shared" si="3"/>
        <v>16.45730743021716</v>
      </c>
      <c r="P22" s="13">
        <f t="shared" si="4"/>
        <v>24.107383930982166</v>
      </c>
      <c r="Q22" s="13">
        <f t="shared" si="5"/>
        <v>30.407446931612174</v>
      </c>
    </row>
    <row r="23" spans="1:17" ht="18">
      <c r="A23"/>
      <c r="E23" s="12" t="s">
        <v>22</v>
      </c>
      <c r="J23" s="3">
        <v>21</v>
      </c>
      <c r="K23" s="6">
        <f t="shared" si="0"/>
        <v>0.3</v>
      </c>
      <c r="L23" s="4">
        <f t="shared" si="1"/>
        <v>8.75</v>
      </c>
      <c r="M23" s="11">
        <f t="shared" si="6"/>
        <v>7.5</v>
      </c>
      <c r="N23" s="13">
        <f t="shared" si="2"/>
        <v>8.775087750877509</v>
      </c>
      <c r="O23" s="13">
        <f t="shared" si="3"/>
        <v>15.975159751597516</v>
      </c>
      <c r="P23" s="13">
        <f t="shared" si="4"/>
        <v>23.625236252362523</v>
      </c>
      <c r="Q23" s="13">
        <f t="shared" si="5"/>
        <v>29.92529925299253</v>
      </c>
    </row>
    <row r="24" spans="1:17" ht="12">
      <c r="A24"/>
      <c r="B24" s="8">
        <v>0.062</v>
      </c>
      <c r="C24" s="8">
        <v>0.196</v>
      </c>
      <c r="D24" s="8">
        <v>0.268</v>
      </c>
      <c r="E24" s="8">
        <v>0.26</v>
      </c>
      <c r="F24" s="8">
        <v>0.175</v>
      </c>
      <c r="G24" s="8">
        <v>0.039</v>
      </c>
      <c r="H24" s="8">
        <v>1</v>
      </c>
      <c r="J24" s="3">
        <v>22</v>
      </c>
      <c r="K24" s="6">
        <f t="shared" si="0"/>
        <v>0.3142857142857143</v>
      </c>
      <c r="L24" s="4">
        <f t="shared" si="1"/>
        <v>10</v>
      </c>
      <c r="M24" s="11">
        <f t="shared" si="6"/>
        <v>8.571428571428571</v>
      </c>
      <c r="N24" s="13">
        <f t="shared" si="2"/>
        <v>8.292940072257867</v>
      </c>
      <c r="O24" s="13">
        <f t="shared" si="3"/>
        <v>15.493012072977875</v>
      </c>
      <c r="P24" s="13">
        <f t="shared" si="4"/>
        <v>23.143088573742883</v>
      </c>
      <c r="Q24" s="13">
        <f t="shared" si="5"/>
        <v>29.443151574372887</v>
      </c>
    </row>
    <row r="25" spans="2:17" ht="12">
      <c r="B25" s="2" t="s">
        <v>33</v>
      </c>
      <c r="C25" s="2" t="s">
        <v>34</v>
      </c>
      <c r="D25" s="2" t="s">
        <v>35</v>
      </c>
      <c r="E25" s="2" t="s">
        <v>36</v>
      </c>
      <c r="F25" s="2" t="s">
        <v>37</v>
      </c>
      <c r="G25" s="2" t="s">
        <v>38</v>
      </c>
      <c r="H25" s="2" t="s">
        <v>5</v>
      </c>
      <c r="J25" s="3">
        <v>23</v>
      </c>
      <c r="K25" s="6">
        <f t="shared" si="0"/>
        <v>0.32857142857142857</v>
      </c>
      <c r="L25" s="4">
        <f t="shared" si="1"/>
        <v>11.25</v>
      </c>
      <c r="M25" s="11">
        <f t="shared" si="6"/>
        <v>9.642857142857142</v>
      </c>
      <c r="N25" s="13">
        <f t="shared" si="2"/>
        <v>7.810792393638223</v>
      </c>
      <c r="O25" s="13">
        <f t="shared" si="3"/>
        <v>15.010864394358231</v>
      </c>
      <c r="P25" s="13">
        <f t="shared" si="4"/>
        <v>22.66094089512324</v>
      </c>
      <c r="Q25" s="13">
        <f t="shared" si="5"/>
        <v>28.961003895753247</v>
      </c>
    </row>
    <row r="26" spans="1:17" ht="12">
      <c r="A26" s="3">
        <v>1</v>
      </c>
      <c r="B26" s="9">
        <v>99.3</v>
      </c>
      <c r="C26" s="9">
        <v>69.3</v>
      </c>
      <c r="D26" s="9">
        <v>6.4</v>
      </c>
      <c r="E26" s="9">
        <v>0</v>
      </c>
      <c r="F26" s="9">
        <v>0</v>
      </c>
      <c r="G26" s="9">
        <v>0</v>
      </c>
      <c r="H26">
        <v>21.5</v>
      </c>
      <c r="J26" s="3">
        <v>24</v>
      </c>
      <c r="K26" s="6">
        <f t="shared" si="0"/>
        <v>0.34285714285714286</v>
      </c>
      <c r="L26" s="4">
        <f t="shared" si="1"/>
        <v>12.5</v>
      </c>
      <c r="M26" s="11">
        <f t="shared" si="6"/>
        <v>10.714285714285714</v>
      </c>
      <c r="N26" s="13">
        <f t="shared" si="2"/>
        <v>7.328644715018578</v>
      </c>
      <c r="O26" s="13">
        <f t="shared" si="3"/>
        <v>14.528716715738586</v>
      </c>
      <c r="P26" s="13">
        <f t="shared" si="4"/>
        <v>22.178793216503593</v>
      </c>
      <c r="Q26" s="13">
        <f t="shared" si="5"/>
        <v>28.4788562171336</v>
      </c>
    </row>
    <row r="27" spans="1:17" ht="12">
      <c r="A27" s="3">
        <v>2</v>
      </c>
      <c r="B27" s="9">
        <v>0.8</v>
      </c>
      <c r="C27" s="9">
        <v>29.4</v>
      </c>
      <c r="D27" s="9">
        <v>60.3</v>
      </c>
      <c r="E27" s="9">
        <v>9.2</v>
      </c>
      <c r="F27" s="9">
        <v>0.1</v>
      </c>
      <c r="G27" s="9">
        <v>0</v>
      </c>
      <c r="H27">
        <v>24.4</v>
      </c>
      <c r="J27" s="3">
        <v>25</v>
      </c>
      <c r="K27" s="6">
        <f t="shared" si="0"/>
        <v>0.35714285714285715</v>
      </c>
      <c r="L27" s="4">
        <f t="shared" si="1"/>
        <v>13.75</v>
      </c>
      <c r="M27" s="11">
        <f t="shared" si="6"/>
        <v>11.785714285714285</v>
      </c>
      <c r="N27" s="13">
        <f t="shared" si="2"/>
        <v>6.846497036398936</v>
      </c>
      <c r="O27" s="13">
        <f t="shared" si="3"/>
        <v>14.046569037118944</v>
      </c>
      <c r="P27" s="13">
        <f t="shared" si="4"/>
        <v>21.696645537883953</v>
      </c>
      <c r="Q27" s="13">
        <f t="shared" si="5"/>
        <v>27.996708538513957</v>
      </c>
    </row>
    <row r="28" spans="1:17" ht="12">
      <c r="A28" s="3">
        <v>3</v>
      </c>
      <c r="B28" s="9">
        <v>0</v>
      </c>
      <c r="C28" s="9">
        <v>1.3</v>
      </c>
      <c r="D28" s="9">
        <v>31.9</v>
      </c>
      <c r="E28" s="9">
        <v>58.6</v>
      </c>
      <c r="F28" s="9">
        <v>12.2</v>
      </c>
      <c r="G28" s="9">
        <v>0.3</v>
      </c>
      <c r="H28">
        <v>26.1</v>
      </c>
      <c r="J28" s="3">
        <v>26</v>
      </c>
      <c r="K28" s="6">
        <f t="shared" si="0"/>
        <v>0.37142857142857144</v>
      </c>
      <c r="L28" s="4">
        <f t="shared" si="1"/>
        <v>15</v>
      </c>
      <c r="M28" s="11">
        <f t="shared" si="6"/>
        <v>12.857142857142856</v>
      </c>
      <c r="N28" s="13">
        <f t="shared" si="2"/>
        <v>6.364349357779293</v>
      </c>
      <c r="O28" s="13">
        <f t="shared" si="3"/>
        <v>13.5644213584993</v>
      </c>
      <c r="P28" s="13">
        <f t="shared" si="4"/>
        <v>21.21449785926431</v>
      </c>
      <c r="Q28" s="13">
        <f t="shared" si="5"/>
        <v>27.514560859894313</v>
      </c>
    </row>
    <row r="29" spans="1:17" ht="12">
      <c r="A29" s="3">
        <v>4</v>
      </c>
      <c r="B29" s="9">
        <v>0</v>
      </c>
      <c r="C29" s="9">
        <v>0</v>
      </c>
      <c r="D29" s="9">
        <v>1.5</v>
      </c>
      <c r="E29" s="9">
        <v>29.6</v>
      </c>
      <c r="F29" s="9">
        <v>48.1</v>
      </c>
      <c r="G29" s="9">
        <v>8.7</v>
      </c>
      <c r="H29">
        <v>16.9</v>
      </c>
      <c r="J29" s="3">
        <v>27</v>
      </c>
      <c r="K29" s="6">
        <f t="shared" si="0"/>
        <v>0.38571428571428573</v>
      </c>
      <c r="L29" s="4">
        <f t="shared" si="1"/>
        <v>16.25</v>
      </c>
      <c r="M29" s="11">
        <f t="shared" si="6"/>
        <v>13.928571428571427</v>
      </c>
      <c r="N29" s="13">
        <f t="shared" si="2"/>
        <v>5.88220167915965</v>
      </c>
      <c r="O29" s="13">
        <f t="shared" si="3"/>
        <v>13.082273679879657</v>
      </c>
      <c r="P29" s="13">
        <f t="shared" si="4"/>
        <v>20.732350180644662</v>
      </c>
      <c r="Q29" s="13">
        <f t="shared" si="5"/>
        <v>27.03241318127467</v>
      </c>
    </row>
    <row r="30" spans="1:17" ht="12">
      <c r="A30" s="3">
        <v>5</v>
      </c>
      <c r="B30" s="9">
        <v>0</v>
      </c>
      <c r="C30" s="9">
        <v>0</v>
      </c>
      <c r="D30" s="9">
        <v>0</v>
      </c>
      <c r="E30" s="9">
        <v>2.5</v>
      </c>
      <c r="F30" s="9">
        <v>39.7</v>
      </c>
      <c r="G30" s="9">
        <v>91</v>
      </c>
      <c r="H30">
        <v>11.2</v>
      </c>
      <c r="J30" s="3">
        <v>28</v>
      </c>
      <c r="K30" s="6">
        <f t="shared" si="0"/>
        <v>0.4</v>
      </c>
      <c r="L30" s="4">
        <f t="shared" si="1"/>
        <v>17.5</v>
      </c>
      <c r="M30" s="11">
        <f t="shared" si="6"/>
        <v>15</v>
      </c>
      <c r="N30" s="13">
        <f t="shared" si="2"/>
        <v>5.400054000540005</v>
      </c>
      <c r="O30" s="13">
        <f t="shared" si="3"/>
        <v>12.600126001260012</v>
      </c>
      <c r="P30" s="13">
        <f t="shared" si="4"/>
        <v>20.250202502025022</v>
      </c>
      <c r="Q30" s="13">
        <f t="shared" si="5"/>
        <v>26.550265502655026</v>
      </c>
    </row>
    <row r="31" spans="10:17" ht="12">
      <c r="J31" s="3">
        <v>29</v>
      </c>
      <c r="K31" s="6">
        <f t="shared" si="0"/>
        <v>0.4142857142857143</v>
      </c>
      <c r="L31" s="4">
        <f t="shared" si="1"/>
        <v>18.75</v>
      </c>
      <c r="M31" s="11">
        <f t="shared" si="6"/>
        <v>16.07142857142857</v>
      </c>
      <c r="N31" s="13">
        <f t="shared" si="2"/>
        <v>4.917906321920363</v>
      </c>
      <c r="O31" s="13">
        <f t="shared" si="3"/>
        <v>12.11797832264037</v>
      </c>
      <c r="P31" s="13">
        <f t="shared" si="4"/>
        <v>19.76805482340538</v>
      </c>
      <c r="Q31" s="13">
        <f t="shared" si="5"/>
        <v>26.068117824035383</v>
      </c>
    </row>
    <row r="32" spans="1:17" ht="18">
      <c r="A32" s="3">
        <v>0.01</v>
      </c>
      <c r="D32" s="12" t="s">
        <v>40</v>
      </c>
      <c r="J32" s="3">
        <v>30</v>
      </c>
      <c r="K32" s="6">
        <f t="shared" si="0"/>
        <v>0.42857142857142855</v>
      </c>
      <c r="L32" s="4">
        <f t="shared" si="1"/>
        <v>20</v>
      </c>
      <c r="M32" s="11">
        <f t="shared" si="6"/>
        <v>17.142857142857142</v>
      </c>
      <c r="N32" s="13">
        <f t="shared" si="2"/>
        <v>4.435758643300719</v>
      </c>
      <c r="O32" s="13">
        <f t="shared" si="3"/>
        <v>11.635830644020727</v>
      </c>
      <c r="P32" s="13">
        <f t="shared" si="4"/>
        <v>19.285907144785735</v>
      </c>
      <c r="Q32" s="13">
        <f t="shared" si="5"/>
        <v>25.585970145415743</v>
      </c>
    </row>
    <row r="33" spans="1:17" ht="12">
      <c r="A33" t="s">
        <v>39</v>
      </c>
      <c r="B33" s="8">
        <v>0.062</v>
      </c>
      <c r="C33" s="8">
        <v>0.196</v>
      </c>
      <c r="D33" s="8">
        <v>0.268</v>
      </c>
      <c r="E33" s="8">
        <v>0.26</v>
      </c>
      <c r="F33" s="8">
        <v>0.175</v>
      </c>
      <c r="G33" s="8">
        <v>0.039</v>
      </c>
      <c r="J33" s="3">
        <v>31</v>
      </c>
      <c r="K33" s="6">
        <f t="shared" si="0"/>
        <v>0.44285714285714284</v>
      </c>
      <c r="L33" s="4">
        <f t="shared" si="1"/>
        <v>21.25</v>
      </c>
      <c r="M33" s="11">
        <f t="shared" si="6"/>
        <v>18.21428571428571</v>
      </c>
      <c r="N33" s="13">
        <f t="shared" si="2"/>
        <v>3.9536109646810766</v>
      </c>
      <c r="O33" s="13">
        <f t="shared" si="3"/>
        <v>11.153682965401083</v>
      </c>
      <c r="P33" s="13">
        <f t="shared" si="4"/>
        <v>18.803759466166092</v>
      </c>
      <c r="Q33" s="13">
        <f t="shared" si="5"/>
        <v>25.1038224667961</v>
      </c>
    </row>
    <row r="34" spans="1:17" ht="12">
      <c r="A34" t="s">
        <v>24</v>
      </c>
      <c r="B34" s="2" t="s">
        <v>33</v>
      </c>
      <c r="C34" s="2" t="s">
        <v>34</v>
      </c>
      <c r="D34" s="2" t="s">
        <v>35</v>
      </c>
      <c r="E34" s="2" t="s">
        <v>36</v>
      </c>
      <c r="F34" s="2" t="s">
        <v>37</v>
      </c>
      <c r="G34" s="2" t="s">
        <v>38</v>
      </c>
      <c r="J34" s="3">
        <v>32</v>
      </c>
      <c r="K34" s="6">
        <f aca="true" t="shared" si="7" ref="K34:K65">J34/70</f>
        <v>0.45714285714285713</v>
      </c>
      <c r="L34" s="4">
        <f aca="true" t="shared" si="8" ref="L34:L65">J34-1/4*(70-J34)</f>
        <v>22.5</v>
      </c>
      <c r="M34" s="11">
        <f t="shared" si="6"/>
        <v>19.285714285714285</v>
      </c>
      <c r="N34" s="13">
        <f aca="true" t="shared" si="9" ref="N34:N65">(Min2-$M34)/Essay_Weight</f>
        <v>3.4714632860614327</v>
      </c>
      <c r="O34" s="13">
        <f aca="true" t="shared" si="10" ref="O34:O65">(Min3-$M34)/Essay_Weight</f>
        <v>10.67153528678144</v>
      </c>
      <c r="P34" s="13">
        <f aca="true" t="shared" si="11" ref="P34:P65">(Min4-$M34)/Essay_Weight</f>
        <v>18.32161178754645</v>
      </c>
      <c r="Q34" s="13">
        <f aca="true" t="shared" si="12" ref="Q34:Q65">(Min5-$M34)/Essay_Weight</f>
        <v>24.621674788176453</v>
      </c>
    </row>
    <row r="35" spans="1:17" ht="12">
      <c r="A35">
        <v>1</v>
      </c>
      <c r="B35" s="15">
        <f aca="true" t="shared" si="13" ref="B35:G39">B17*B$33*Percentifier</f>
        <v>0.061566</v>
      </c>
      <c r="C35" s="15">
        <f t="shared" si="13"/>
        <v>0.135828</v>
      </c>
      <c r="D35" s="15">
        <f t="shared" si="13"/>
        <v>0.017152000000000004</v>
      </c>
      <c r="E35" s="15">
        <f t="shared" si="13"/>
        <v>0</v>
      </c>
      <c r="F35" s="15">
        <f t="shared" si="13"/>
        <v>0</v>
      </c>
      <c r="G35" s="15">
        <f t="shared" si="13"/>
        <v>0</v>
      </c>
      <c r="J35" s="3">
        <v>33</v>
      </c>
      <c r="K35" s="6">
        <f t="shared" si="7"/>
        <v>0.4714285714285714</v>
      </c>
      <c r="L35" s="4">
        <f t="shared" si="8"/>
        <v>23.75</v>
      </c>
      <c r="M35" s="11">
        <f t="shared" si="6"/>
        <v>20.357142857142858</v>
      </c>
      <c r="N35" s="13">
        <f t="shared" si="9"/>
        <v>2.9893156074417884</v>
      </c>
      <c r="O35" s="13">
        <f t="shared" si="10"/>
        <v>10.189387608161796</v>
      </c>
      <c r="P35" s="13">
        <f t="shared" si="11"/>
        <v>17.8394641089268</v>
      </c>
      <c r="Q35" s="13">
        <f t="shared" si="12"/>
        <v>24.13952710955681</v>
      </c>
    </row>
    <row r="36" spans="1:17" ht="12">
      <c r="A36">
        <v>2</v>
      </c>
      <c r="B36" s="15">
        <f t="shared" si="13"/>
        <v>0.000496</v>
      </c>
      <c r="C36" s="15">
        <f t="shared" si="13"/>
        <v>0.057623999999999995</v>
      </c>
      <c r="D36" s="15">
        <f t="shared" si="13"/>
        <v>0.161604</v>
      </c>
      <c r="E36" s="15">
        <f t="shared" si="13"/>
        <v>0.02392</v>
      </c>
      <c r="F36" s="15">
        <f t="shared" si="13"/>
        <v>0.000175</v>
      </c>
      <c r="G36" s="15">
        <f t="shared" si="13"/>
        <v>0</v>
      </c>
      <c r="J36" s="3">
        <v>34</v>
      </c>
      <c r="K36" s="6">
        <f t="shared" si="7"/>
        <v>0.4857142857142857</v>
      </c>
      <c r="L36" s="4">
        <f t="shared" si="8"/>
        <v>25</v>
      </c>
      <c r="M36" s="11">
        <f t="shared" si="6"/>
        <v>21.428571428571427</v>
      </c>
      <c r="N36" s="13">
        <f t="shared" si="9"/>
        <v>2.5071679288221462</v>
      </c>
      <c r="O36" s="13">
        <f t="shared" si="10"/>
        <v>9.707239929542153</v>
      </c>
      <c r="P36" s="13">
        <f t="shared" si="11"/>
        <v>17.35731643030716</v>
      </c>
      <c r="Q36" s="13">
        <f t="shared" si="12"/>
        <v>23.657379430937166</v>
      </c>
    </row>
    <row r="37" spans="1:17" ht="12">
      <c r="A37">
        <v>3</v>
      </c>
      <c r="B37" s="15">
        <f t="shared" si="13"/>
        <v>0</v>
      </c>
      <c r="C37" s="15">
        <f t="shared" si="13"/>
        <v>0.0025480000000000004</v>
      </c>
      <c r="D37" s="15">
        <f t="shared" si="13"/>
        <v>0.08549200000000001</v>
      </c>
      <c r="E37" s="15">
        <f t="shared" si="13"/>
        <v>0.15236000000000002</v>
      </c>
      <c r="F37" s="15">
        <f t="shared" si="13"/>
        <v>0.021349999999999997</v>
      </c>
      <c r="G37" s="15">
        <f t="shared" si="13"/>
        <v>0.00011700000000000001</v>
      </c>
      <c r="J37" s="3">
        <v>35</v>
      </c>
      <c r="K37" s="6">
        <f t="shared" si="7"/>
        <v>0.5</v>
      </c>
      <c r="L37" s="4">
        <f t="shared" si="8"/>
        <v>26.25</v>
      </c>
      <c r="M37" s="11">
        <f t="shared" si="6"/>
        <v>22.5</v>
      </c>
      <c r="N37" s="13">
        <f t="shared" si="9"/>
        <v>2.025020250202502</v>
      </c>
      <c r="O37" s="13">
        <f t="shared" si="10"/>
        <v>9.22509225092251</v>
      </c>
      <c r="P37" s="13">
        <f t="shared" si="11"/>
        <v>16.875168751687518</v>
      </c>
      <c r="Q37" s="13">
        <f t="shared" si="12"/>
        <v>23.175231752317522</v>
      </c>
    </row>
    <row r="38" spans="1:17" ht="12">
      <c r="A38">
        <v>4</v>
      </c>
      <c r="B38" s="15">
        <f t="shared" si="13"/>
        <v>0</v>
      </c>
      <c r="C38" s="15">
        <f t="shared" si="13"/>
        <v>0</v>
      </c>
      <c r="D38" s="15">
        <f t="shared" si="13"/>
        <v>0.00402</v>
      </c>
      <c r="E38" s="15">
        <f t="shared" si="13"/>
        <v>0.07696000000000001</v>
      </c>
      <c r="F38" s="15">
        <f t="shared" si="13"/>
        <v>0.084175</v>
      </c>
      <c r="G38" s="15">
        <f t="shared" si="13"/>
        <v>0.003393</v>
      </c>
      <c r="J38" s="3">
        <v>36</v>
      </c>
      <c r="K38" s="6">
        <f t="shared" si="7"/>
        <v>0.5142857142857142</v>
      </c>
      <c r="L38" s="4">
        <f t="shared" si="8"/>
        <v>27.5</v>
      </c>
      <c r="M38" s="11">
        <f t="shared" si="6"/>
        <v>23.57142857142857</v>
      </c>
      <c r="N38" s="13">
        <f t="shared" si="9"/>
        <v>1.5428725715828597</v>
      </c>
      <c r="O38" s="13">
        <f t="shared" si="10"/>
        <v>8.742944572302868</v>
      </c>
      <c r="P38" s="13">
        <f t="shared" si="11"/>
        <v>16.393021073067874</v>
      </c>
      <c r="Q38" s="13">
        <f t="shared" si="12"/>
        <v>22.693084073697882</v>
      </c>
    </row>
    <row r="39" spans="1:17" ht="12">
      <c r="A39">
        <v>5</v>
      </c>
      <c r="B39" s="15">
        <f t="shared" si="13"/>
        <v>0</v>
      </c>
      <c r="C39" s="15">
        <f t="shared" si="13"/>
        <v>0</v>
      </c>
      <c r="D39" s="15">
        <f t="shared" si="13"/>
        <v>0</v>
      </c>
      <c r="E39" s="15">
        <f t="shared" si="13"/>
        <v>0.006500000000000001</v>
      </c>
      <c r="F39" s="15">
        <f t="shared" si="13"/>
        <v>0.069475</v>
      </c>
      <c r="G39" s="15">
        <f t="shared" si="13"/>
        <v>0.03549</v>
      </c>
      <c r="J39" s="3">
        <v>37</v>
      </c>
      <c r="K39" s="6">
        <f t="shared" si="7"/>
        <v>0.5285714285714286</v>
      </c>
      <c r="L39" s="4">
        <f t="shared" si="8"/>
        <v>28.75</v>
      </c>
      <c r="M39" s="11">
        <f t="shared" si="6"/>
        <v>24.642857142857142</v>
      </c>
      <c r="N39" s="13">
        <f t="shared" si="9"/>
        <v>1.0607248929632156</v>
      </c>
      <c r="O39" s="13">
        <f t="shared" si="10"/>
        <v>8.260796893683223</v>
      </c>
      <c r="P39" s="13">
        <f t="shared" si="11"/>
        <v>15.910873394448233</v>
      </c>
      <c r="Q39" s="13">
        <f t="shared" si="12"/>
        <v>22.21093639507824</v>
      </c>
    </row>
    <row r="40" spans="10:17" ht="12">
      <c r="J40" s="3">
        <v>38</v>
      </c>
      <c r="K40" s="6">
        <f t="shared" si="7"/>
        <v>0.5428571428571428</v>
      </c>
      <c r="L40" s="4">
        <f t="shared" si="8"/>
        <v>30</v>
      </c>
      <c r="M40" s="11">
        <f t="shared" si="6"/>
        <v>25.71428571428571</v>
      </c>
      <c r="N40" s="13">
        <f t="shared" si="9"/>
        <v>0.5785772143435731</v>
      </c>
      <c r="O40" s="13">
        <f t="shared" si="10"/>
        <v>7.778649215063581</v>
      </c>
      <c r="P40" s="13">
        <f t="shared" si="11"/>
        <v>15.42872571582859</v>
      </c>
      <c r="Q40" s="13">
        <f t="shared" si="12"/>
        <v>21.728788716458595</v>
      </c>
    </row>
    <row r="41" spans="1:17" ht="18">
      <c r="A41" s="12" t="s">
        <v>10</v>
      </c>
      <c r="E41" s="12" t="s">
        <v>54</v>
      </c>
      <c r="J41" s="3">
        <v>39</v>
      </c>
      <c r="K41" s="6">
        <f t="shared" si="7"/>
        <v>0.5571428571428572</v>
      </c>
      <c r="L41" s="4">
        <f t="shared" si="8"/>
        <v>31.25</v>
      </c>
      <c r="M41" s="11">
        <f t="shared" si="6"/>
        <v>26.785714285714285</v>
      </c>
      <c r="N41" s="13">
        <f t="shared" si="9"/>
        <v>0.09642953572392912</v>
      </c>
      <c r="O41" s="13">
        <f t="shared" si="10"/>
        <v>7.2965015364439365</v>
      </c>
      <c r="P41" s="13">
        <f t="shared" si="11"/>
        <v>14.946578037208944</v>
      </c>
      <c r="Q41" s="13">
        <f t="shared" si="12"/>
        <v>21.246641037838952</v>
      </c>
    </row>
    <row r="42" spans="1:17" ht="12">
      <c r="A42" t="s">
        <v>16</v>
      </c>
      <c r="B42">
        <v>100</v>
      </c>
      <c r="E42">
        <v>5</v>
      </c>
      <c r="F42">
        <v>74</v>
      </c>
      <c r="J42" s="3">
        <v>40</v>
      </c>
      <c r="K42" s="6">
        <f t="shared" si="7"/>
        <v>0.5714285714285714</v>
      </c>
      <c r="L42" s="4">
        <f t="shared" si="8"/>
        <v>32.5</v>
      </c>
      <c r="M42" s="11">
        <f t="shared" si="6"/>
        <v>27.857142857142854</v>
      </c>
      <c r="N42" s="13">
        <f t="shared" si="9"/>
        <v>-0.3857181428957133</v>
      </c>
      <c r="O42" s="13">
        <f t="shared" si="10"/>
        <v>6.814353857824294</v>
      </c>
      <c r="P42" s="13">
        <f t="shared" si="11"/>
        <v>14.464430358589302</v>
      </c>
      <c r="Q42" s="13">
        <f t="shared" si="12"/>
        <v>20.76449335921931</v>
      </c>
    </row>
    <row r="43" spans="1:17" ht="12">
      <c r="A43" t="s">
        <v>12</v>
      </c>
      <c r="B43">
        <f>50-(1/4*50)</f>
        <v>37.5</v>
      </c>
      <c r="E43">
        <v>4</v>
      </c>
      <c r="F43">
        <v>60</v>
      </c>
      <c r="J43" s="3">
        <v>41</v>
      </c>
      <c r="K43" s="6">
        <f t="shared" si="7"/>
        <v>0.5857142857142857</v>
      </c>
      <c r="L43" s="4">
        <f t="shared" si="8"/>
        <v>33.75</v>
      </c>
      <c r="M43" s="11">
        <f t="shared" si="6"/>
        <v>28.928571428571427</v>
      </c>
      <c r="N43" s="13">
        <f t="shared" si="9"/>
        <v>-0.8678658215153573</v>
      </c>
      <c r="O43" s="13">
        <f t="shared" si="10"/>
        <v>6.33220617920465</v>
      </c>
      <c r="P43" s="13">
        <f t="shared" si="11"/>
        <v>13.982282679969657</v>
      </c>
      <c r="Q43" s="13">
        <f t="shared" si="12"/>
        <v>20.28234568059966</v>
      </c>
    </row>
    <row r="44" spans="1:17" ht="12">
      <c r="A44" t="s">
        <v>13</v>
      </c>
      <c r="B44">
        <f>33-1/4*(67)</f>
        <v>16.25</v>
      </c>
      <c r="E44">
        <v>3</v>
      </c>
      <c r="F44">
        <v>43</v>
      </c>
      <c r="J44" s="3">
        <v>42</v>
      </c>
      <c r="K44" s="6">
        <f t="shared" si="7"/>
        <v>0.6</v>
      </c>
      <c r="L44" s="4">
        <f t="shared" si="8"/>
        <v>35</v>
      </c>
      <c r="M44" s="11">
        <f t="shared" si="6"/>
        <v>30</v>
      </c>
      <c r="N44" s="13">
        <f t="shared" si="9"/>
        <v>-1.3500135001350013</v>
      </c>
      <c r="O44" s="13">
        <f t="shared" si="10"/>
        <v>5.850058500585006</v>
      </c>
      <c r="P44" s="13">
        <f t="shared" si="11"/>
        <v>13.500135001350014</v>
      </c>
      <c r="Q44" s="13">
        <f t="shared" si="12"/>
        <v>19.80019800198002</v>
      </c>
    </row>
    <row r="45" spans="1:17" ht="12">
      <c r="A45" t="s">
        <v>11</v>
      </c>
      <c r="B45">
        <f>25-1/4*(75)</f>
        <v>6.25</v>
      </c>
      <c r="E45">
        <v>2</v>
      </c>
      <c r="F45">
        <v>27</v>
      </c>
      <c r="J45" s="3">
        <v>43</v>
      </c>
      <c r="K45" s="6">
        <f t="shared" si="7"/>
        <v>0.6142857142857143</v>
      </c>
      <c r="L45" s="4">
        <f t="shared" si="8"/>
        <v>36.25</v>
      </c>
      <c r="M45" s="11">
        <f t="shared" si="6"/>
        <v>31.07142857142857</v>
      </c>
      <c r="N45" s="13">
        <f t="shared" si="9"/>
        <v>-1.832161178754644</v>
      </c>
      <c r="O45" s="13">
        <f t="shared" si="10"/>
        <v>5.3679108219653635</v>
      </c>
      <c r="P45" s="13">
        <f t="shared" si="11"/>
        <v>13.017987322730372</v>
      </c>
      <c r="Q45" s="13">
        <f t="shared" si="12"/>
        <v>19.318050323360378</v>
      </c>
    </row>
    <row r="46" spans="1:17" ht="12">
      <c r="A46" s="5" t="s">
        <v>14</v>
      </c>
      <c r="B46">
        <v>0</v>
      </c>
      <c r="E46">
        <v>1</v>
      </c>
      <c r="F46">
        <v>0</v>
      </c>
      <c r="J46" s="3">
        <v>44</v>
      </c>
      <c r="K46" s="6">
        <f t="shared" si="7"/>
        <v>0.6285714285714286</v>
      </c>
      <c r="L46" s="4">
        <f t="shared" si="8"/>
        <v>37.5</v>
      </c>
      <c r="M46" s="11">
        <f t="shared" si="6"/>
        <v>32.14285714285714</v>
      </c>
      <c r="N46" s="13">
        <f t="shared" si="9"/>
        <v>-2.3143088573742863</v>
      </c>
      <c r="O46" s="13">
        <f t="shared" si="10"/>
        <v>4.885763143345721</v>
      </c>
      <c r="P46" s="13">
        <f t="shared" si="11"/>
        <v>12.535839644110728</v>
      </c>
      <c r="Q46" s="13">
        <f t="shared" si="12"/>
        <v>18.835902644740735</v>
      </c>
    </row>
    <row r="47" spans="1:17" ht="12">
      <c r="A47" t="s">
        <v>17</v>
      </c>
      <c r="B47">
        <v>0</v>
      </c>
      <c r="J47" s="3">
        <v>45</v>
      </c>
      <c r="K47" s="6">
        <f t="shared" si="7"/>
        <v>0.6428571428571429</v>
      </c>
      <c r="L47" s="4">
        <f t="shared" si="8"/>
        <v>38.75</v>
      </c>
      <c r="M47" s="11">
        <f t="shared" si="6"/>
        <v>33.214285714285715</v>
      </c>
      <c r="N47" s="13">
        <f t="shared" si="9"/>
        <v>-2.796456535993932</v>
      </c>
      <c r="O47" s="13">
        <f t="shared" si="10"/>
        <v>4.403615464726076</v>
      </c>
      <c r="P47" s="13">
        <f t="shared" si="11"/>
        <v>12.053691965491083</v>
      </c>
      <c r="Q47" s="13">
        <f t="shared" si="12"/>
        <v>18.35375496612109</v>
      </c>
    </row>
    <row r="48" spans="1:17" ht="12">
      <c r="A48" t="s">
        <v>15</v>
      </c>
      <c r="B48">
        <v>-25</v>
      </c>
      <c r="J48" s="3">
        <v>46</v>
      </c>
      <c r="K48" s="6">
        <f t="shared" si="7"/>
        <v>0.6571428571428571</v>
      </c>
      <c r="L48" s="4">
        <f t="shared" si="8"/>
        <v>40</v>
      </c>
      <c r="M48" s="11">
        <f t="shared" si="6"/>
        <v>34.285714285714285</v>
      </c>
      <c r="N48" s="13">
        <f t="shared" si="9"/>
        <v>-3.2786042146135745</v>
      </c>
      <c r="O48" s="13">
        <f t="shared" si="10"/>
        <v>3.921467786106433</v>
      </c>
      <c r="P48" s="13">
        <f t="shared" si="11"/>
        <v>11.571544286871442</v>
      </c>
      <c r="Q48" s="13">
        <f t="shared" si="12"/>
        <v>17.871607287501448</v>
      </c>
    </row>
    <row r="49" spans="10:17" ht="12">
      <c r="J49" s="3">
        <v>47</v>
      </c>
      <c r="K49" s="6">
        <f t="shared" si="7"/>
        <v>0.6714285714285714</v>
      </c>
      <c r="L49" s="4">
        <f t="shared" si="8"/>
        <v>41.25</v>
      </c>
      <c r="M49" s="11">
        <f aca="true" t="shared" si="14" ref="M49:M72">L49*Generic_MC_Weight</f>
        <v>35.357142857142854</v>
      </c>
      <c r="N49" s="13">
        <f t="shared" si="9"/>
        <v>-3.7607518932332167</v>
      </c>
      <c r="O49" s="13">
        <f t="shared" si="10"/>
        <v>3.4393201074867905</v>
      </c>
      <c r="P49" s="13">
        <f t="shared" si="11"/>
        <v>11.089396608251798</v>
      </c>
      <c r="Q49" s="13">
        <f t="shared" si="12"/>
        <v>17.389459608881804</v>
      </c>
    </row>
    <row r="50" spans="1:17" ht="18">
      <c r="A50" s="12" t="s">
        <v>61</v>
      </c>
      <c r="J50" s="3">
        <v>48</v>
      </c>
      <c r="K50" s="6">
        <f t="shared" si="7"/>
        <v>0.6857142857142857</v>
      </c>
      <c r="L50" s="4">
        <f t="shared" si="8"/>
        <v>42.5</v>
      </c>
      <c r="M50" s="11">
        <f t="shared" si="14"/>
        <v>36.42857142857142</v>
      </c>
      <c r="N50" s="13">
        <f t="shared" si="9"/>
        <v>-4.242899571852859</v>
      </c>
      <c r="O50" s="13">
        <f t="shared" si="10"/>
        <v>2.9571724288671484</v>
      </c>
      <c r="P50" s="13">
        <f t="shared" si="11"/>
        <v>10.607248929632156</v>
      </c>
      <c r="Q50" s="13">
        <f t="shared" si="12"/>
        <v>16.907311930262164</v>
      </c>
    </row>
    <row r="51" spans="1:17" ht="12">
      <c r="A51" t="s">
        <v>72</v>
      </c>
      <c r="J51" s="3">
        <v>49</v>
      </c>
      <c r="K51" s="6">
        <f t="shared" si="7"/>
        <v>0.7</v>
      </c>
      <c r="L51" s="4">
        <f t="shared" si="8"/>
        <v>43.75</v>
      </c>
      <c r="M51" s="11">
        <f t="shared" si="14"/>
        <v>37.5</v>
      </c>
      <c r="N51" s="13">
        <f t="shared" si="9"/>
        <v>-4.725047250472505</v>
      </c>
      <c r="O51" s="13">
        <f t="shared" si="10"/>
        <v>2.4750247502475027</v>
      </c>
      <c r="P51" s="13">
        <f t="shared" si="11"/>
        <v>10.125101251012511</v>
      </c>
      <c r="Q51" s="13">
        <f t="shared" si="12"/>
        <v>16.425164251642517</v>
      </c>
    </row>
    <row r="52" spans="1:17" ht="12">
      <c r="A52" s="4">
        <f>Essay_Weight/B52</f>
        <v>2.0740533333333335</v>
      </c>
      <c r="B52" s="13">
        <f>1.25*Multiplier</f>
        <v>1.0714285714285714</v>
      </c>
      <c r="C52" t="s">
        <v>69</v>
      </c>
      <c r="J52" s="3">
        <v>50</v>
      </c>
      <c r="K52" s="6">
        <f t="shared" si="7"/>
        <v>0.7142857142857143</v>
      </c>
      <c r="L52" s="4">
        <f t="shared" si="8"/>
        <v>45</v>
      </c>
      <c r="M52" s="11">
        <f t="shared" si="14"/>
        <v>38.57142857142857</v>
      </c>
      <c r="N52" s="13">
        <f t="shared" si="9"/>
        <v>-5.2071949290921475</v>
      </c>
      <c r="O52" s="13">
        <f t="shared" si="10"/>
        <v>1.99287707162786</v>
      </c>
      <c r="P52" s="13">
        <f t="shared" si="11"/>
        <v>9.642953572392868</v>
      </c>
      <c r="Q52" s="13">
        <f t="shared" si="12"/>
        <v>15.943016573022874</v>
      </c>
    </row>
    <row r="53" spans="1:17" ht="12">
      <c r="A53" s="4">
        <f>Essay_Weight/B53</f>
        <v>2.0740533333333335</v>
      </c>
      <c r="B53" s="13">
        <f>1.25*$G$2</f>
        <v>1.0714285714285714</v>
      </c>
      <c r="C53" t="s">
        <v>73</v>
      </c>
      <c r="J53" s="3">
        <v>51</v>
      </c>
      <c r="K53" s="6">
        <f t="shared" si="7"/>
        <v>0.7285714285714285</v>
      </c>
      <c r="L53" s="4">
        <f t="shared" si="8"/>
        <v>46.25</v>
      </c>
      <c r="M53" s="11">
        <f t="shared" si="14"/>
        <v>39.64285714285714</v>
      </c>
      <c r="N53" s="13">
        <f t="shared" si="9"/>
        <v>-5.68934260771179</v>
      </c>
      <c r="O53" s="13">
        <f t="shared" si="10"/>
        <v>1.5107293930082177</v>
      </c>
      <c r="P53" s="13">
        <f t="shared" si="11"/>
        <v>9.160805893773226</v>
      </c>
      <c r="Q53" s="13">
        <f t="shared" si="12"/>
        <v>15.460868894403232</v>
      </c>
    </row>
    <row r="54" spans="1:17" ht="12">
      <c r="A54" t="s">
        <v>71</v>
      </c>
      <c r="J54" s="3">
        <v>52</v>
      </c>
      <c r="K54" s="6">
        <f t="shared" si="7"/>
        <v>0.7428571428571429</v>
      </c>
      <c r="L54" s="4">
        <f t="shared" si="8"/>
        <v>47.5</v>
      </c>
      <c r="M54" s="11">
        <f t="shared" si="14"/>
        <v>40.714285714285715</v>
      </c>
      <c r="N54" s="13">
        <f t="shared" si="9"/>
        <v>-6.171490286331435</v>
      </c>
      <c r="O54" s="13">
        <f t="shared" si="10"/>
        <v>1.028581714388572</v>
      </c>
      <c r="P54" s="13">
        <f t="shared" si="11"/>
        <v>8.67865821515358</v>
      </c>
      <c r="Q54" s="13">
        <f t="shared" si="12"/>
        <v>14.978721215783587</v>
      </c>
    </row>
    <row r="55" spans="1:17" ht="12">
      <c r="A55" s="3" t="s">
        <v>74</v>
      </c>
      <c r="J55" s="3">
        <v>53</v>
      </c>
      <c r="K55" s="6">
        <f t="shared" si="7"/>
        <v>0.7571428571428571</v>
      </c>
      <c r="L55" s="4">
        <f t="shared" si="8"/>
        <v>48.75</v>
      </c>
      <c r="M55" s="11">
        <f t="shared" si="14"/>
        <v>41.785714285714285</v>
      </c>
      <c r="N55" s="13">
        <f t="shared" si="9"/>
        <v>-6.653637964951078</v>
      </c>
      <c r="O55" s="13">
        <f t="shared" si="10"/>
        <v>0.5464340357689296</v>
      </c>
      <c r="P55" s="13">
        <f t="shared" si="11"/>
        <v>8.196510536533937</v>
      </c>
      <c r="Q55" s="13">
        <f t="shared" si="12"/>
        <v>14.496573537163943</v>
      </c>
    </row>
    <row r="56" spans="10:17" ht="12">
      <c r="J56" s="3">
        <v>54</v>
      </c>
      <c r="K56" s="6">
        <f t="shared" si="7"/>
        <v>0.7714285714285715</v>
      </c>
      <c r="L56" s="4">
        <f t="shared" si="8"/>
        <v>50</v>
      </c>
      <c r="M56" s="11">
        <f t="shared" si="14"/>
        <v>42.857142857142854</v>
      </c>
      <c r="N56" s="13">
        <f t="shared" si="9"/>
        <v>-7.1357856435707205</v>
      </c>
      <c r="O56" s="13">
        <f t="shared" si="10"/>
        <v>0.06428635714928715</v>
      </c>
      <c r="P56" s="13">
        <f t="shared" si="11"/>
        <v>7.714362857914295</v>
      </c>
      <c r="Q56" s="13">
        <f t="shared" si="12"/>
        <v>14.014425858544302</v>
      </c>
    </row>
    <row r="57" spans="6:17" ht="12">
      <c r="F57" t="s">
        <v>70</v>
      </c>
      <c r="J57" s="3">
        <v>55</v>
      </c>
      <c r="K57" s="6">
        <f t="shared" si="7"/>
        <v>0.7857142857142857</v>
      </c>
      <c r="L57" s="4">
        <f t="shared" si="8"/>
        <v>51.25</v>
      </c>
      <c r="M57" s="11">
        <f t="shared" si="14"/>
        <v>43.92857142857142</v>
      </c>
      <c r="N57" s="13">
        <f t="shared" si="9"/>
        <v>-7.617933322190362</v>
      </c>
      <c r="O57" s="13">
        <f t="shared" si="10"/>
        <v>-0.41786132147035526</v>
      </c>
      <c r="P57" s="13">
        <f t="shared" si="11"/>
        <v>7.232215179294653</v>
      </c>
      <c r="Q57" s="13">
        <f t="shared" si="12"/>
        <v>13.532278179924658</v>
      </c>
    </row>
    <row r="58" spans="1:17" ht="18">
      <c r="A58" s="12" t="s">
        <v>41</v>
      </c>
      <c r="F58" s="12" t="s">
        <v>52</v>
      </c>
      <c r="H58" s="12">
        <v>2.2222</v>
      </c>
      <c r="J58" s="3">
        <v>56</v>
      </c>
      <c r="K58" s="6">
        <f t="shared" si="7"/>
        <v>0.8</v>
      </c>
      <c r="L58" s="4">
        <f t="shared" si="8"/>
        <v>52.5</v>
      </c>
      <c r="M58" s="11">
        <f t="shared" si="14"/>
        <v>45</v>
      </c>
      <c r="N58" s="13">
        <f t="shared" si="9"/>
        <v>-8.100081000810007</v>
      </c>
      <c r="O58" s="13">
        <f t="shared" si="10"/>
        <v>-0.900009000090001</v>
      </c>
      <c r="P58" s="13">
        <f t="shared" si="11"/>
        <v>6.750067500675007</v>
      </c>
      <c r="Q58" s="13">
        <f t="shared" si="12"/>
        <v>13.050130501305013</v>
      </c>
    </row>
    <row r="59" spans="10:17" ht="12">
      <c r="J59" s="3">
        <v>57</v>
      </c>
      <c r="K59" s="6">
        <f t="shared" si="7"/>
        <v>0.8142857142857143</v>
      </c>
      <c r="L59" s="4">
        <f t="shared" si="8"/>
        <v>53.75</v>
      </c>
      <c r="M59" s="11">
        <f t="shared" si="14"/>
        <v>46.07142857142857</v>
      </c>
      <c r="N59" s="13">
        <f t="shared" si="9"/>
        <v>-8.582228679429651</v>
      </c>
      <c r="O59" s="13">
        <f t="shared" si="10"/>
        <v>-1.3821566787096433</v>
      </c>
      <c r="P59" s="13">
        <f t="shared" si="11"/>
        <v>6.267919822055364</v>
      </c>
      <c r="Q59" s="13">
        <f t="shared" si="12"/>
        <v>12.567982822685371</v>
      </c>
    </row>
    <row r="60" spans="2:17" ht="12">
      <c r="B60" s="10" t="s">
        <v>276</v>
      </c>
      <c r="C60" s="10" t="s">
        <v>277</v>
      </c>
      <c r="D60" s="10" t="s">
        <v>278</v>
      </c>
      <c r="E60" s="10" t="s">
        <v>279</v>
      </c>
      <c r="F60" s="10" t="s">
        <v>280</v>
      </c>
      <c r="G60" s="10" t="s">
        <v>281</v>
      </c>
      <c r="H60" s="10" t="s">
        <v>282</v>
      </c>
      <c r="J60" s="3">
        <v>58</v>
      </c>
      <c r="K60" s="6">
        <f t="shared" si="7"/>
        <v>0.8285714285714286</v>
      </c>
      <c r="L60" s="4">
        <f t="shared" si="8"/>
        <v>55</v>
      </c>
      <c r="M60" s="11">
        <f t="shared" si="14"/>
        <v>47.14285714285714</v>
      </c>
      <c r="N60" s="13">
        <f t="shared" si="9"/>
        <v>-9.064376358049293</v>
      </c>
      <c r="O60" s="13">
        <f t="shared" si="10"/>
        <v>-1.864304357329286</v>
      </c>
      <c r="P60" s="13">
        <f t="shared" si="11"/>
        <v>5.785772143435722</v>
      </c>
      <c r="Q60" s="13">
        <f t="shared" si="12"/>
        <v>12.085835144065728</v>
      </c>
    </row>
    <row r="61" spans="1:17" ht="12">
      <c r="A61" s="3" t="s">
        <v>42</v>
      </c>
      <c r="B61">
        <v>25</v>
      </c>
      <c r="C61">
        <v>30</v>
      </c>
      <c r="D61">
        <v>40</v>
      </c>
      <c r="E61">
        <v>35</v>
      </c>
      <c r="F61">
        <v>50</v>
      </c>
      <c r="G61">
        <v>50</v>
      </c>
      <c r="H61">
        <v>70</v>
      </c>
      <c r="J61" s="3">
        <v>59</v>
      </c>
      <c r="K61" s="6">
        <f t="shared" si="7"/>
        <v>0.8428571428571429</v>
      </c>
      <c r="L61" s="4">
        <f t="shared" si="8"/>
        <v>56.25</v>
      </c>
      <c r="M61" s="11">
        <f t="shared" si="14"/>
        <v>48.21428571428571</v>
      </c>
      <c r="N61" s="13">
        <f t="shared" si="9"/>
        <v>-9.546524036668936</v>
      </c>
      <c r="O61" s="13">
        <f t="shared" si="10"/>
        <v>-2.346452035948928</v>
      </c>
      <c r="P61" s="13">
        <f t="shared" si="11"/>
        <v>5.30362446481608</v>
      </c>
      <c r="Q61" s="13">
        <f t="shared" si="12"/>
        <v>11.603687465446086</v>
      </c>
    </row>
    <row r="62" spans="1:17" ht="12">
      <c r="A62" s="3" t="s">
        <v>43</v>
      </c>
      <c r="B62">
        <v>30</v>
      </c>
      <c r="C62">
        <v>30</v>
      </c>
      <c r="D62">
        <v>25</v>
      </c>
      <c r="E62">
        <v>30</v>
      </c>
      <c r="F62">
        <v>15</v>
      </c>
      <c r="G62">
        <v>20</v>
      </c>
      <c r="H62">
        <v>0</v>
      </c>
      <c r="J62" s="3">
        <v>60</v>
      </c>
      <c r="K62" s="6">
        <f t="shared" si="7"/>
        <v>0.8571428571428571</v>
      </c>
      <c r="L62" s="4">
        <f t="shared" si="8"/>
        <v>57.5</v>
      </c>
      <c r="M62" s="11">
        <f t="shared" si="14"/>
        <v>49.285714285714285</v>
      </c>
      <c r="N62" s="13">
        <f t="shared" si="9"/>
        <v>-10.028671715288581</v>
      </c>
      <c r="O62" s="13">
        <f t="shared" si="10"/>
        <v>-2.8285997145685737</v>
      </c>
      <c r="P62" s="13">
        <f t="shared" si="11"/>
        <v>4.821476786196434</v>
      </c>
      <c r="Q62" s="13">
        <f t="shared" si="12"/>
        <v>11.12153978682644</v>
      </c>
    </row>
    <row r="63" spans="1:17" ht="12">
      <c r="A63" s="3" t="s">
        <v>44</v>
      </c>
      <c r="B63">
        <v>15</v>
      </c>
      <c r="C63">
        <v>10</v>
      </c>
      <c r="D63">
        <v>5</v>
      </c>
      <c r="E63">
        <v>5</v>
      </c>
      <c r="F63">
        <v>5</v>
      </c>
      <c r="G63">
        <v>0</v>
      </c>
      <c r="H63">
        <v>0</v>
      </c>
      <c r="J63" s="3">
        <v>61</v>
      </c>
      <c r="K63" s="6">
        <f t="shared" si="7"/>
        <v>0.8714285714285714</v>
      </c>
      <c r="L63" s="4">
        <f t="shared" si="8"/>
        <v>58.75</v>
      </c>
      <c r="M63" s="11">
        <f t="shared" si="14"/>
        <v>50.357142857142854</v>
      </c>
      <c r="N63" s="13">
        <f t="shared" si="9"/>
        <v>-10.510819393908223</v>
      </c>
      <c r="O63" s="13">
        <f t="shared" si="10"/>
        <v>-3.3107473931882163</v>
      </c>
      <c r="P63" s="13">
        <f t="shared" si="11"/>
        <v>4.339329107576791</v>
      </c>
      <c r="Q63" s="13">
        <f t="shared" si="12"/>
        <v>10.639392108206797</v>
      </c>
    </row>
    <row r="64" spans="10:17" ht="12">
      <c r="J64" s="3">
        <v>62</v>
      </c>
      <c r="K64" s="6">
        <f t="shared" si="7"/>
        <v>0.8857142857142857</v>
      </c>
      <c r="L64" s="4">
        <f t="shared" si="8"/>
        <v>60</v>
      </c>
      <c r="M64" s="11">
        <f t="shared" si="14"/>
        <v>51.42857142857142</v>
      </c>
      <c r="N64" s="13">
        <f t="shared" si="9"/>
        <v>-10.992967072527867</v>
      </c>
      <c r="O64" s="13">
        <f t="shared" si="10"/>
        <v>-3.792895071807859</v>
      </c>
      <c r="P64" s="13">
        <f t="shared" si="11"/>
        <v>3.857181428957149</v>
      </c>
      <c r="Q64" s="13">
        <f t="shared" si="12"/>
        <v>10.157244429587156</v>
      </c>
    </row>
    <row r="65" spans="1:17" ht="12">
      <c r="A65" s="3" t="s">
        <v>75</v>
      </c>
      <c r="B65" s="13">
        <f aca="true" t="shared" si="15" ref="B65:G65">(B61-(1/4*B62))*Multiplier</f>
        <v>15</v>
      </c>
      <c r="C65" s="13">
        <f t="shared" si="15"/>
        <v>19.285714285714285</v>
      </c>
      <c r="D65" s="13">
        <f t="shared" si="15"/>
        <v>28.928571428571427</v>
      </c>
      <c r="E65" s="13">
        <f t="shared" si="15"/>
        <v>23.57142857142857</v>
      </c>
      <c r="F65" s="13">
        <f t="shared" si="15"/>
        <v>39.64285714285714</v>
      </c>
      <c r="G65" s="13">
        <f t="shared" si="15"/>
        <v>38.57142857142857</v>
      </c>
      <c r="H65" s="13">
        <v>60</v>
      </c>
      <c r="J65" s="3">
        <v>63</v>
      </c>
      <c r="K65" s="6">
        <f t="shared" si="7"/>
        <v>0.9</v>
      </c>
      <c r="L65" s="4">
        <f t="shared" si="8"/>
        <v>61.25</v>
      </c>
      <c r="M65" s="11">
        <f t="shared" si="14"/>
        <v>52.5</v>
      </c>
      <c r="N65" s="13">
        <f t="shared" si="9"/>
        <v>-11.475114751147512</v>
      </c>
      <c r="O65" s="13">
        <f t="shared" si="10"/>
        <v>-4.275042750427504</v>
      </c>
      <c r="P65" s="13">
        <f t="shared" si="11"/>
        <v>3.3750337503375034</v>
      </c>
      <c r="Q65" s="13">
        <f t="shared" si="12"/>
        <v>9.67509675096751</v>
      </c>
    </row>
    <row r="66" spans="10:17" ht="12">
      <c r="J66" s="3">
        <v>64</v>
      </c>
      <c r="K66" s="6">
        <f aca="true" t="shared" si="16" ref="K66:K72">J66/70</f>
        <v>0.9142857142857143</v>
      </c>
      <c r="L66" s="4">
        <f aca="true" t="shared" si="17" ref="L66:L72">J66-1/4*(70-J66)</f>
        <v>62.5</v>
      </c>
      <c r="M66" s="11">
        <f t="shared" si="14"/>
        <v>53.57142857142857</v>
      </c>
      <c r="N66" s="13">
        <f aca="true" t="shared" si="18" ref="N66:N72">(Min2-$M66)/Essay_Weight</f>
        <v>-11.957262429767153</v>
      </c>
      <c r="O66" s="13">
        <f aca="true" t="shared" si="19" ref="O66:O72">(Min3-$M66)/Essay_Weight</f>
        <v>-4.757190429047147</v>
      </c>
      <c r="P66" s="13">
        <f aca="true" t="shared" si="20" ref="P66:P72">(Min4-$M66)/Essay_Weight</f>
        <v>2.892886071717861</v>
      </c>
      <c r="Q66" s="13">
        <f aca="true" t="shared" si="21" ref="Q66:Q72">(Min5-$M66)/Essay_Weight</f>
        <v>9.192949072347867</v>
      </c>
    </row>
    <row r="67" spans="1:17" ht="12">
      <c r="A67" s="3" t="s">
        <v>45</v>
      </c>
      <c r="B67">
        <v>2</v>
      </c>
      <c r="C67">
        <v>3</v>
      </c>
      <c r="D67">
        <v>5</v>
      </c>
      <c r="E67">
        <v>5</v>
      </c>
      <c r="F67">
        <v>3</v>
      </c>
      <c r="G67">
        <v>7</v>
      </c>
      <c r="H67">
        <v>9</v>
      </c>
      <c r="J67" s="3">
        <v>65</v>
      </c>
      <c r="K67" s="6">
        <f t="shared" si="16"/>
        <v>0.9285714285714286</v>
      </c>
      <c r="L67" s="4">
        <f t="shared" si="17"/>
        <v>63.75</v>
      </c>
      <c r="M67" s="11">
        <f t="shared" si="14"/>
        <v>54.64285714285714</v>
      </c>
      <c r="N67" s="13">
        <f t="shared" si="18"/>
        <v>-12.439410108386797</v>
      </c>
      <c r="O67" s="13">
        <f t="shared" si="19"/>
        <v>-5.239338107666789</v>
      </c>
      <c r="P67" s="13">
        <f t="shared" si="20"/>
        <v>2.4107383930982187</v>
      </c>
      <c r="Q67" s="13">
        <f t="shared" si="21"/>
        <v>8.710801393728225</v>
      </c>
    </row>
    <row r="68" spans="1:17" ht="12">
      <c r="A68" s="3" t="s">
        <v>84</v>
      </c>
      <c r="B68">
        <v>2</v>
      </c>
      <c r="C68">
        <v>3</v>
      </c>
      <c r="D68">
        <v>4</v>
      </c>
      <c r="E68">
        <v>5</v>
      </c>
      <c r="F68">
        <v>2</v>
      </c>
      <c r="G68">
        <v>6</v>
      </c>
      <c r="H68">
        <v>9</v>
      </c>
      <c r="J68" s="3">
        <v>66</v>
      </c>
      <c r="K68" s="6">
        <f t="shared" si="16"/>
        <v>0.9428571428571428</v>
      </c>
      <c r="L68" s="4">
        <f t="shared" si="17"/>
        <v>65</v>
      </c>
      <c r="M68" s="11">
        <f t="shared" si="14"/>
        <v>55.71428571428571</v>
      </c>
      <c r="N68" s="13">
        <f t="shared" si="18"/>
        <v>-12.921557787006439</v>
      </c>
      <c r="O68" s="13">
        <f t="shared" si="19"/>
        <v>-5.721485786286432</v>
      </c>
      <c r="P68" s="13">
        <f t="shared" si="20"/>
        <v>1.928590714478576</v>
      </c>
      <c r="Q68" s="13">
        <f t="shared" si="21"/>
        <v>8.228653715108583</v>
      </c>
    </row>
    <row r="69" spans="1:17" ht="12">
      <c r="A69" s="3" t="s">
        <v>85</v>
      </c>
      <c r="B69">
        <v>1</v>
      </c>
      <c r="C69">
        <v>2</v>
      </c>
      <c r="D69">
        <v>3</v>
      </c>
      <c r="E69">
        <v>4</v>
      </c>
      <c r="F69">
        <v>2</v>
      </c>
      <c r="G69">
        <v>5</v>
      </c>
      <c r="H69">
        <v>9</v>
      </c>
      <c r="J69" s="3">
        <v>67</v>
      </c>
      <c r="K69" s="6">
        <f t="shared" si="16"/>
        <v>0.9571428571428572</v>
      </c>
      <c r="L69" s="4">
        <f t="shared" si="17"/>
        <v>66.25</v>
      </c>
      <c r="M69" s="11">
        <f t="shared" si="14"/>
        <v>56.785714285714285</v>
      </c>
      <c r="N69" s="13">
        <f t="shared" si="18"/>
        <v>-13.403705465626084</v>
      </c>
      <c r="O69" s="13">
        <f t="shared" si="19"/>
        <v>-6.203633464906077</v>
      </c>
      <c r="P69" s="13">
        <f t="shared" si="20"/>
        <v>1.4464430358589304</v>
      </c>
      <c r="Q69" s="13">
        <f t="shared" si="21"/>
        <v>7.746506036488937</v>
      </c>
    </row>
    <row r="70" spans="10:17" ht="12">
      <c r="J70" s="3">
        <v>68</v>
      </c>
      <c r="K70" s="6">
        <f t="shared" si="16"/>
        <v>0.9714285714285714</v>
      </c>
      <c r="L70" s="4">
        <f t="shared" si="17"/>
        <v>67.5</v>
      </c>
      <c r="M70" s="11">
        <f t="shared" si="14"/>
        <v>57.857142857142854</v>
      </c>
      <c r="N70" s="13">
        <f t="shared" si="18"/>
        <v>-13.885853144245727</v>
      </c>
      <c r="O70" s="13">
        <f t="shared" si="19"/>
        <v>-6.68578114352572</v>
      </c>
      <c r="P70" s="13">
        <f t="shared" si="20"/>
        <v>0.964295357239288</v>
      </c>
      <c r="Q70" s="13">
        <f t="shared" si="21"/>
        <v>7.264358357869295</v>
      </c>
    </row>
    <row r="71" spans="1:17" ht="12">
      <c r="A71" s="3" t="s">
        <v>49</v>
      </c>
      <c r="B71" s="13">
        <f aca="true" t="shared" si="22" ref="B71:H73">B67*Essay_Weight</f>
        <v>4.4444</v>
      </c>
      <c r="C71" s="13">
        <f t="shared" si="22"/>
        <v>6.6666</v>
      </c>
      <c r="D71" s="13">
        <f t="shared" si="22"/>
        <v>11.111</v>
      </c>
      <c r="E71" s="13">
        <f t="shared" si="22"/>
        <v>11.111</v>
      </c>
      <c r="F71" s="13">
        <f t="shared" si="22"/>
        <v>6.6666</v>
      </c>
      <c r="G71" s="13">
        <f t="shared" si="22"/>
        <v>15.555399999999999</v>
      </c>
      <c r="H71" s="13">
        <f t="shared" si="22"/>
        <v>19.9998</v>
      </c>
      <c r="J71" s="3">
        <v>69</v>
      </c>
      <c r="K71" s="6">
        <f t="shared" si="16"/>
        <v>0.9857142857142858</v>
      </c>
      <c r="L71" s="4">
        <f t="shared" si="17"/>
        <v>68.75</v>
      </c>
      <c r="M71" s="11">
        <f t="shared" si="14"/>
        <v>58.92857142857142</v>
      </c>
      <c r="N71" s="13">
        <f t="shared" si="18"/>
        <v>-14.368000822865369</v>
      </c>
      <c r="O71" s="13">
        <f t="shared" si="19"/>
        <v>-7.167928822145362</v>
      </c>
      <c r="P71" s="13">
        <f t="shared" si="20"/>
        <v>0.48214767861964564</v>
      </c>
      <c r="Q71" s="13">
        <f t="shared" si="21"/>
        <v>6.782210679249652</v>
      </c>
    </row>
    <row r="72" spans="1:17" ht="12">
      <c r="A72" s="3" t="s">
        <v>50</v>
      </c>
      <c r="B72" s="13">
        <f t="shared" si="22"/>
        <v>4.4444</v>
      </c>
      <c r="C72" s="13">
        <f t="shared" si="22"/>
        <v>6.6666</v>
      </c>
      <c r="D72" s="13">
        <f t="shared" si="22"/>
        <v>8.8888</v>
      </c>
      <c r="E72" s="13">
        <f t="shared" si="22"/>
        <v>11.111</v>
      </c>
      <c r="F72" s="13">
        <f t="shared" si="22"/>
        <v>4.4444</v>
      </c>
      <c r="G72" s="13">
        <f t="shared" si="22"/>
        <v>13.3332</v>
      </c>
      <c r="H72" s="13">
        <f t="shared" si="22"/>
        <v>19.9998</v>
      </c>
      <c r="J72" s="3">
        <v>70</v>
      </c>
      <c r="K72" s="6">
        <f t="shared" si="16"/>
        <v>1</v>
      </c>
      <c r="L72" s="4">
        <f t="shared" si="17"/>
        <v>70</v>
      </c>
      <c r="M72" s="11">
        <f t="shared" si="14"/>
        <v>60</v>
      </c>
      <c r="N72" s="13">
        <f t="shared" si="18"/>
        <v>-14.850148501485014</v>
      </c>
      <c r="O72" s="13">
        <f t="shared" si="19"/>
        <v>-7.650076500765008</v>
      </c>
      <c r="P72" s="13">
        <f t="shared" si="20"/>
        <v>0</v>
      </c>
      <c r="Q72" s="13">
        <f t="shared" si="21"/>
        <v>6.300063000630006</v>
      </c>
    </row>
    <row r="73" spans="1:8" ht="12">
      <c r="A73" s="3" t="s">
        <v>51</v>
      </c>
      <c r="B73" s="13">
        <f t="shared" si="22"/>
        <v>2.2222</v>
      </c>
      <c r="C73" s="13">
        <f t="shared" si="22"/>
        <v>4.4444</v>
      </c>
      <c r="D73" s="13">
        <f t="shared" si="22"/>
        <v>6.6666</v>
      </c>
      <c r="E73" s="13">
        <f t="shared" si="22"/>
        <v>8.8888</v>
      </c>
      <c r="F73" s="13">
        <f t="shared" si="22"/>
        <v>4.4444</v>
      </c>
      <c r="G73" s="13">
        <f t="shared" si="22"/>
        <v>11.111</v>
      </c>
      <c r="H73" s="13">
        <f t="shared" si="22"/>
        <v>19.9998</v>
      </c>
    </row>
    <row r="74" spans="2:8" ht="12">
      <c r="B74" s="13"/>
      <c r="C74" s="13"/>
      <c r="D74" s="13"/>
      <c r="E74" s="13"/>
      <c r="F74" s="13"/>
      <c r="G74" s="13"/>
      <c r="H74" s="13"/>
    </row>
    <row r="75" spans="1:8" ht="12">
      <c r="A75" s="3" t="s">
        <v>53</v>
      </c>
      <c r="B75" s="13">
        <f aca="true" t="shared" si="23" ref="B75:G75">SUM(B71:B73)</f>
        <v>11.111</v>
      </c>
      <c r="C75" s="13">
        <f t="shared" si="23"/>
        <v>17.7776</v>
      </c>
      <c r="D75" s="13">
        <f t="shared" si="23"/>
        <v>26.6664</v>
      </c>
      <c r="E75" s="13">
        <f t="shared" si="23"/>
        <v>31.1108</v>
      </c>
      <c r="F75" s="13">
        <f t="shared" si="23"/>
        <v>15.5554</v>
      </c>
      <c r="G75" s="13">
        <f t="shared" si="23"/>
        <v>39.9996</v>
      </c>
      <c r="H75" s="13">
        <v>60</v>
      </c>
    </row>
    <row r="77" spans="1:8" ht="12">
      <c r="A77" s="3" t="s">
        <v>47</v>
      </c>
      <c r="B77" s="9">
        <f aca="true" t="shared" si="24" ref="B77:H77">B65+B75</f>
        <v>26.111</v>
      </c>
      <c r="C77" s="9">
        <f t="shared" si="24"/>
        <v>37.063314285714284</v>
      </c>
      <c r="D77" s="9">
        <f t="shared" si="24"/>
        <v>55.59497142857143</v>
      </c>
      <c r="E77" s="9">
        <f t="shared" si="24"/>
        <v>54.68222857142857</v>
      </c>
      <c r="F77" s="9">
        <f t="shared" si="24"/>
        <v>55.19825714285714</v>
      </c>
      <c r="G77" s="9">
        <f t="shared" si="24"/>
        <v>78.57102857142857</v>
      </c>
      <c r="H77" s="9">
        <f t="shared" si="24"/>
        <v>120</v>
      </c>
    </row>
    <row r="78" spans="2:8" ht="12">
      <c r="B78" s="3" t="s">
        <v>283</v>
      </c>
      <c r="C78" s="3" t="s">
        <v>288</v>
      </c>
      <c r="D78" s="3" t="s">
        <v>287</v>
      </c>
      <c r="E78" s="3" t="s">
        <v>286</v>
      </c>
      <c r="F78" s="3" t="s">
        <v>286</v>
      </c>
      <c r="G78" s="3" t="s">
        <v>285</v>
      </c>
      <c r="H78" s="3" t="s">
        <v>284</v>
      </c>
    </row>
    <row r="79" spans="2:8" ht="12">
      <c r="B79" s="9" t="str">
        <f aca="true" t="shared" si="25" ref="B79:H79">B60</f>
        <v>Student A</v>
      </c>
      <c r="C79" s="9" t="str">
        <f t="shared" si="25"/>
        <v>Student B</v>
      </c>
      <c r="D79" s="9" t="str">
        <f t="shared" si="25"/>
        <v>Student C</v>
      </c>
      <c r="E79" s="9" t="str">
        <f t="shared" si="25"/>
        <v>Student D</v>
      </c>
      <c r="F79" s="9" t="str">
        <f t="shared" si="25"/>
        <v>Student E</v>
      </c>
      <c r="G79" s="9" t="str">
        <f t="shared" si="25"/>
        <v>Student F</v>
      </c>
      <c r="H79" s="9" t="str">
        <f t="shared" si="25"/>
        <v>Perfect Score</v>
      </c>
    </row>
    <row r="80" spans="1:8" ht="12">
      <c r="A80" s="3" t="s">
        <v>48</v>
      </c>
      <c r="B80">
        <v>1</v>
      </c>
      <c r="C80">
        <v>2</v>
      </c>
      <c r="D80">
        <v>3</v>
      </c>
      <c r="E80">
        <v>3</v>
      </c>
      <c r="F80">
        <v>3</v>
      </c>
      <c r="G80">
        <v>5</v>
      </c>
      <c r="H80">
        <v>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X65536"/>
  <sheetViews>
    <sheetView workbookViewId="0" topLeftCell="A1">
      <selection activeCell="D5" sqref="D5"/>
    </sheetView>
  </sheetViews>
  <sheetFormatPr defaultColWidth="9.00390625" defaultRowHeight="12"/>
  <cols>
    <col min="1" max="1" width="11.375" style="0" customWidth="1"/>
    <col min="2" max="2" width="9.875" style="0" customWidth="1"/>
    <col min="3" max="3" width="8.125" style="0" customWidth="1"/>
    <col min="4" max="16384" width="11.375" style="0" customWidth="1"/>
  </cols>
  <sheetData>
    <row r="1" ht="12">
      <c r="A1" t="s">
        <v>18</v>
      </c>
    </row>
    <row r="2" ht="12">
      <c r="A2" t="s">
        <v>19</v>
      </c>
    </row>
    <row r="3" ht="12">
      <c r="A3" t="s">
        <v>20</v>
      </c>
    </row>
    <row r="4" spans="1:40" ht="12">
      <c r="A4" s="26" t="s">
        <v>21</v>
      </c>
      <c r="AJ4" t="s">
        <v>94</v>
      </c>
      <c r="AN4" t="s">
        <v>95</v>
      </c>
    </row>
    <row r="5" spans="4:48" ht="12">
      <c r="D5" t="s">
        <v>302</v>
      </c>
      <c r="E5">
        <v>2002</v>
      </c>
      <c r="M5" t="s">
        <v>96</v>
      </c>
      <c r="S5" t="s">
        <v>97</v>
      </c>
      <c r="Y5" t="s">
        <v>289</v>
      </c>
      <c r="AJ5">
        <v>28</v>
      </c>
      <c r="AQ5">
        <v>31</v>
      </c>
      <c r="AV5" t="s">
        <v>98</v>
      </c>
    </row>
    <row r="6" spans="1:50" ht="15.75" customHeight="1">
      <c r="A6" s="27" t="s">
        <v>99</v>
      </c>
      <c r="B6" s="27" t="s">
        <v>8</v>
      </c>
      <c r="C6" s="27" t="s">
        <v>100</v>
      </c>
      <c r="D6" s="27" t="s">
        <v>101</v>
      </c>
      <c r="E6" s="27" t="s">
        <v>102</v>
      </c>
      <c r="G6" s="28">
        <v>5</v>
      </c>
      <c r="H6" s="28">
        <v>4</v>
      </c>
      <c r="I6" s="28">
        <v>3</v>
      </c>
      <c r="J6" s="28">
        <v>2</v>
      </c>
      <c r="K6" s="28">
        <v>1</v>
      </c>
      <c r="L6" s="28"/>
      <c r="M6" s="28">
        <v>5</v>
      </c>
      <c r="N6" s="28">
        <v>4</v>
      </c>
      <c r="O6" s="28">
        <v>3</v>
      </c>
      <c r="P6" s="28">
        <v>2</v>
      </c>
      <c r="Q6" s="28">
        <v>1</v>
      </c>
      <c r="S6" s="28">
        <v>5</v>
      </c>
      <c r="T6" s="28">
        <v>4</v>
      </c>
      <c r="U6" s="28">
        <v>3</v>
      </c>
      <c r="V6" s="28">
        <v>2</v>
      </c>
      <c r="W6" s="28">
        <v>1</v>
      </c>
      <c r="Y6" s="28">
        <v>5</v>
      </c>
      <c r="Z6" s="28">
        <v>4</v>
      </c>
      <c r="AA6" s="28">
        <v>3</v>
      </c>
      <c r="AB6" s="28">
        <v>2</v>
      </c>
      <c r="AC6" s="28">
        <v>1</v>
      </c>
      <c r="AE6" t="s">
        <v>103</v>
      </c>
      <c r="AF6" t="s">
        <v>104</v>
      </c>
      <c r="AG6" t="s">
        <v>105</v>
      </c>
      <c r="AH6" t="s">
        <v>106</v>
      </c>
      <c r="AI6" t="s">
        <v>107</v>
      </c>
      <c r="AJ6" t="s">
        <v>108</v>
      </c>
      <c r="AL6" t="s">
        <v>99</v>
      </c>
      <c r="AM6" t="s">
        <v>103</v>
      </c>
      <c r="AN6" t="s">
        <v>104</v>
      </c>
      <c r="AO6" t="s">
        <v>105</v>
      </c>
      <c r="AP6" t="s">
        <v>106</v>
      </c>
      <c r="AQ6" t="s">
        <v>107</v>
      </c>
      <c r="AR6" t="s">
        <v>108</v>
      </c>
      <c r="AS6" t="s">
        <v>109</v>
      </c>
      <c r="AT6" t="s">
        <v>110</v>
      </c>
      <c r="AV6" t="s">
        <v>99</v>
      </c>
      <c r="AW6" t="s">
        <v>111</v>
      </c>
      <c r="AX6" t="s">
        <v>112</v>
      </c>
    </row>
    <row r="7" spans="1:50" ht="12">
      <c r="A7">
        <v>1</v>
      </c>
      <c r="B7">
        <v>68</v>
      </c>
      <c r="C7" s="9"/>
      <c r="D7" s="24">
        <f>AVERAGE(B$7:B7)</f>
        <v>68</v>
      </c>
      <c r="E7" s="24">
        <f aca="true" t="shared" si="0" ref="E7:E16">AVERAGE(B$7:B$16)</f>
        <v>61.3</v>
      </c>
      <c r="G7">
        <v>94</v>
      </c>
      <c r="H7">
        <v>86</v>
      </c>
      <c r="I7">
        <v>73</v>
      </c>
      <c r="J7">
        <v>59</v>
      </c>
      <c r="K7">
        <v>43</v>
      </c>
      <c r="M7" s="9">
        <f>AVERAGE(G$7:G7)</f>
        <v>94</v>
      </c>
      <c r="N7" s="9">
        <f>AVERAGE(H$7:H7)</f>
        <v>86</v>
      </c>
      <c r="O7" s="9">
        <f>AVERAGE(I$7:I7)</f>
        <v>73</v>
      </c>
      <c r="P7" s="9">
        <f>AVERAGE(J$7:J7)</f>
        <v>59</v>
      </c>
      <c r="Q7" s="9">
        <f>AVERAGE(K$7:K7)</f>
        <v>43</v>
      </c>
      <c r="S7" s="9">
        <f aca="true" t="shared" si="1" ref="S7:S38">M7</f>
        <v>94</v>
      </c>
      <c r="T7" s="6">
        <f aca="true" t="shared" si="2" ref="T7:T38">N7/$M7</f>
        <v>0.9148936170212766</v>
      </c>
      <c r="U7" s="6">
        <f aca="true" t="shared" si="3" ref="U7:U38">O7/$M7</f>
        <v>0.776595744680851</v>
      </c>
      <c r="V7" s="6">
        <f aca="true" t="shared" si="4" ref="V7:V38">P7/$M7</f>
        <v>0.6276595744680851</v>
      </c>
      <c r="W7" s="6">
        <f aca="true" t="shared" si="5" ref="W7:W38">Q7/$M7</f>
        <v>0.4574468085106383</v>
      </c>
      <c r="Y7" s="24">
        <f aca="true" t="shared" si="6" ref="Y7:Y16">AVERAGE(G$7:G$16)</f>
        <v>85</v>
      </c>
      <c r="Z7" s="24">
        <f aca="true" t="shared" si="7" ref="Z7:Z16">AVERAGE(H$7:H$16)</f>
        <v>74.2</v>
      </c>
      <c r="AA7" s="24">
        <f aca="true" t="shared" si="8" ref="AA7:AA16">AVERAGE(I$7:I$16)</f>
        <v>63.1</v>
      </c>
      <c r="AB7" s="24">
        <f aca="true" t="shared" si="9" ref="AB7:AB16">AVERAGE(J$7:J$16)</f>
        <v>53.3</v>
      </c>
      <c r="AC7" s="24">
        <f aca="true" t="shared" si="10" ref="AC7:AC16">AVERAGE(K$7:K$16)</f>
        <v>43.5</v>
      </c>
      <c r="AE7" s="6">
        <f aca="true" t="shared" si="11" ref="AE7:AE38">B7*0.01</f>
        <v>0.68</v>
      </c>
      <c r="AF7" s="6">
        <f aca="true" t="shared" si="12" ref="AF7:AF38">(AI7/Number_Students)</f>
        <v>1</v>
      </c>
      <c r="AG7" s="6">
        <f aca="true" t="shared" si="13" ref="AG7:AG38">D7*0.01</f>
        <v>0.68</v>
      </c>
      <c r="AH7" s="6">
        <f>AVERAGE(AF$7:AF7)</f>
        <v>1</v>
      </c>
      <c r="AI7" s="9">
        <f aca="true" t="shared" si="14" ref="AI7:AI38">Number_Students-AJ7</f>
        <v>28</v>
      </c>
      <c r="AJ7">
        <v>0</v>
      </c>
      <c r="AL7">
        <f aca="true" t="shared" si="15" ref="AL7:AL38">A7</f>
        <v>1</v>
      </c>
      <c r="AM7">
        <f aca="true" t="shared" si="16" ref="AM7:AM38">B7</f>
        <v>68</v>
      </c>
      <c r="AN7" s="9">
        <f aca="true" t="shared" si="17" ref="AN7:AN38">(AQ7/AQ$5)*100</f>
        <v>67.74193548387096</v>
      </c>
      <c r="AO7" s="24">
        <f aca="true" t="shared" si="18" ref="AO7:AO38">D7</f>
        <v>68</v>
      </c>
      <c r="AP7" s="24">
        <f>AVERAGE(AN$7:AN7)</f>
        <v>67.74193548387096</v>
      </c>
      <c r="AQ7">
        <f aca="true" t="shared" si="19" ref="AQ7:AQ38">AQ$5-AR7</f>
        <v>21</v>
      </c>
      <c r="AR7">
        <v>10</v>
      </c>
      <c r="AS7" s="24">
        <f aca="true" t="shared" si="20" ref="AS7:AS38">E7</f>
        <v>61.3</v>
      </c>
      <c r="AT7" s="24">
        <f aca="true" t="shared" si="21" ref="AT7:AT16">AVERAGE(AP$7:AP$16)</f>
        <v>55.95814132104455</v>
      </c>
      <c r="AV7">
        <f>AL21</f>
        <v>15</v>
      </c>
      <c r="AW7">
        <f>AM21</f>
        <v>70</v>
      </c>
      <c r="AX7" s="9">
        <f>AN21</f>
        <v>87.09677419354838</v>
      </c>
    </row>
    <row r="8" spans="1:50" ht="12">
      <c r="A8">
        <v>2</v>
      </c>
      <c r="B8">
        <v>66</v>
      </c>
      <c r="C8" s="9"/>
      <c r="D8" s="24">
        <f>AVERAGE(B$7:B8)</f>
        <v>67</v>
      </c>
      <c r="E8" s="24">
        <f t="shared" si="0"/>
        <v>61.3</v>
      </c>
      <c r="G8">
        <v>85</v>
      </c>
      <c r="H8">
        <v>79</v>
      </c>
      <c r="I8">
        <v>68</v>
      </c>
      <c r="J8">
        <v>60</v>
      </c>
      <c r="K8">
        <v>46</v>
      </c>
      <c r="M8" s="9">
        <f>AVERAGE(G$7:G8)</f>
        <v>89.5</v>
      </c>
      <c r="N8" s="9">
        <f>AVERAGE(H$7:H8)</f>
        <v>82.5</v>
      </c>
      <c r="O8" s="9">
        <f>AVERAGE(I$7:I8)</f>
        <v>70.5</v>
      </c>
      <c r="P8" s="9">
        <f>AVERAGE(J$7:J8)</f>
        <v>59.5</v>
      </c>
      <c r="Q8" s="9">
        <f>AVERAGE(K$7:K8)</f>
        <v>44.5</v>
      </c>
      <c r="S8" s="9">
        <f t="shared" si="1"/>
        <v>89.5</v>
      </c>
      <c r="T8" s="6">
        <f t="shared" si="2"/>
        <v>0.9217877094972067</v>
      </c>
      <c r="U8" s="6">
        <f t="shared" si="3"/>
        <v>0.7877094972067039</v>
      </c>
      <c r="V8" s="6">
        <f t="shared" si="4"/>
        <v>0.664804469273743</v>
      </c>
      <c r="W8" s="6">
        <f t="shared" si="5"/>
        <v>0.4972067039106145</v>
      </c>
      <c r="Y8" s="24">
        <f t="shared" si="6"/>
        <v>85</v>
      </c>
      <c r="Z8" s="24">
        <f t="shared" si="7"/>
        <v>74.2</v>
      </c>
      <c r="AA8" s="24">
        <f t="shared" si="8"/>
        <v>63.1</v>
      </c>
      <c r="AB8" s="24">
        <f t="shared" si="9"/>
        <v>53.3</v>
      </c>
      <c r="AC8" s="24">
        <f t="shared" si="10"/>
        <v>43.5</v>
      </c>
      <c r="AE8" s="6">
        <f t="shared" si="11"/>
        <v>0.66</v>
      </c>
      <c r="AF8" s="6">
        <f t="shared" si="12"/>
        <v>0.4642857142857143</v>
      </c>
      <c r="AG8" s="6">
        <f t="shared" si="13"/>
        <v>0.67</v>
      </c>
      <c r="AH8" s="6">
        <f>AVERAGE(AF$7:AF8)</f>
        <v>0.7321428571428572</v>
      </c>
      <c r="AI8" s="9">
        <f t="shared" si="14"/>
        <v>13</v>
      </c>
      <c r="AJ8">
        <v>15</v>
      </c>
      <c r="AL8">
        <f t="shared" si="15"/>
        <v>2</v>
      </c>
      <c r="AM8">
        <f t="shared" si="16"/>
        <v>66</v>
      </c>
      <c r="AN8" s="9">
        <f t="shared" si="17"/>
        <v>45.16129032258064</v>
      </c>
      <c r="AO8" s="24">
        <f t="shared" si="18"/>
        <v>67</v>
      </c>
      <c r="AP8" s="24">
        <f>AVERAGE(AN$7:AN8)</f>
        <v>56.4516129032258</v>
      </c>
      <c r="AQ8">
        <f t="shared" si="19"/>
        <v>14</v>
      </c>
      <c r="AR8">
        <v>17</v>
      </c>
      <c r="AS8" s="24">
        <f t="shared" si="20"/>
        <v>61.3</v>
      </c>
      <c r="AT8" s="24">
        <f t="shared" si="21"/>
        <v>55.95814132104455</v>
      </c>
      <c r="AV8">
        <v>19</v>
      </c>
      <c r="AW8">
        <f aca="true" t="shared" si="22" ref="AW8:AX10">AM25</f>
        <v>74</v>
      </c>
      <c r="AX8" s="9">
        <f t="shared" si="22"/>
        <v>83.87096774193549</v>
      </c>
    </row>
    <row r="9" spans="1:50" ht="12">
      <c r="A9">
        <v>3</v>
      </c>
      <c r="B9">
        <v>68</v>
      </c>
      <c r="C9" s="9"/>
      <c r="D9" s="24">
        <f>AVERAGE(B$7:B9)</f>
        <v>67.33333333333333</v>
      </c>
      <c r="E9" s="24">
        <f t="shared" si="0"/>
        <v>61.3</v>
      </c>
      <c r="G9">
        <v>89</v>
      </c>
      <c r="H9">
        <v>81</v>
      </c>
      <c r="I9">
        <v>72</v>
      </c>
      <c r="J9">
        <v>61</v>
      </c>
      <c r="K9">
        <v>44</v>
      </c>
      <c r="M9" s="9">
        <f>AVERAGE(G$7:G9)</f>
        <v>89.33333333333333</v>
      </c>
      <c r="N9" s="9">
        <f>AVERAGE(H$7:H9)</f>
        <v>82</v>
      </c>
      <c r="O9" s="9">
        <f>AVERAGE(I$7:I9)</f>
        <v>71</v>
      </c>
      <c r="P9" s="9">
        <f>AVERAGE(J$7:J9)</f>
        <v>60</v>
      </c>
      <c r="Q9" s="9">
        <f>AVERAGE(K$7:K9)</f>
        <v>44.333333333333336</v>
      </c>
      <c r="S9" s="9">
        <f t="shared" si="1"/>
        <v>89.33333333333333</v>
      </c>
      <c r="T9" s="6">
        <f t="shared" si="2"/>
        <v>0.9179104477611941</v>
      </c>
      <c r="U9" s="6">
        <f t="shared" si="3"/>
        <v>0.7947761194029851</v>
      </c>
      <c r="V9" s="6">
        <f t="shared" si="4"/>
        <v>0.6716417910447762</v>
      </c>
      <c r="W9" s="6">
        <f t="shared" si="5"/>
        <v>0.49626865671641796</v>
      </c>
      <c r="Y9" s="24">
        <f t="shared" si="6"/>
        <v>85</v>
      </c>
      <c r="Z9" s="24">
        <f t="shared" si="7"/>
        <v>74.2</v>
      </c>
      <c r="AA9" s="24">
        <f t="shared" si="8"/>
        <v>63.1</v>
      </c>
      <c r="AB9" s="24">
        <f t="shared" si="9"/>
        <v>53.3</v>
      </c>
      <c r="AC9" s="24">
        <f t="shared" si="10"/>
        <v>43.5</v>
      </c>
      <c r="AE9" s="6">
        <f t="shared" si="11"/>
        <v>0.68</v>
      </c>
      <c r="AF9" s="6">
        <f t="shared" si="12"/>
        <v>0.42857142857142855</v>
      </c>
      <c r="AG9" s="6">
        <f t="shared" si="13"/>
        <v>0.6733333333333333</v>
      </c>
      <c r="AH9" s="6">
        <f>AVERAGE(AF$7:AF9)</f>
        <v>0.630952380952381</v>
      </c>
      <c r="AI9" s="9">
        <f t="shared" si="14"/>
        <v>12</v>
      </c>
      <c r="AJ9">
        <v>16</v>
      </c>
      <c r="AL9">
        <f t="shared" si="15"/>
        <v>3</v>
      </c>
      <c r="AM9">
        <f t="shared" si="16"/>
        <v>68</v>
      </c>
      <c r="AN9" s="9">
        <f t="shared" si="17"/>
        <v>29.03225806451613</v>
      </c>
      <c r="AO9" s="24">
        <f t="shared" si="18"/>
        <v>67.33333333333333</v>
      </c>
      <c r="AP9" s="24">
        <f>AVERAGE(AN$7:AN9)</f>
        <v>47.31182795698925</v>
      </c>
      <c r="AQ9">
        <f t="shared" si="19"/>
        <v>9</v>
      </c>
      <c r="AR9">
        <v>22</v>
      </c>
      <c r="AS9" s="24">
        <f t="shared" si="20"/>
        <v>61.3</v>
      </c>
      <c r="AT9" s="24">
        <f t="shared" si="21"/>
        <v>55.95814132104455</v>
      </c>
      <c r="AV9">
        <v>20</v>
      </c>
      <c r="AW9">
        <f t="shared" si="22"/>
        <v>61</v>
      </c>
      <c r="AX9" s="9">
        <f t="shared" si="22"/>
        <v>70.96774193548387</v>
      </c>
    </row>
    <row r="10" spans="1:50" ht="12">
      <c r="A10">
        <v>4</v>
      </c>
      <c r="B10">
        <v>48</v>
      </c>
      <c r="C10" s="9"/>
      <c r="D10" s="24">
        <f>AVERAGE(B$7:B10)</f>
        <v>62.5</v>
      </c>
      <c r="E10" s="24">
        <f t="shared" si="0"/>
        <v>61.3</v>
      </c>
      <c r="G10">
        <v>85</v>
      </c>
      <c r="H10">
        <v>64</v>
      </c>
      <c r="I10">
        <v>47</v>
      </c>
      <c r="J10">
        <v>34</v>
      </c>
      <c r="K10">
        <v>34</v>
      </c>
      <c r="M10" s="9">
        <f>AVERAGE(G$7:G10)</f>
        <v>88.25</v>
      </c>
      <c r="N10" s="9">
        <f>AVERAGE(H$7:H10)</f>
        <v>77.5</v>
      </c>
      <c r="O10" s="9">
        <f>AVERAGE(I$7:I10)</f>
        <v>65</v>
      </c>
      <c r="P10" s="9">
        <f>AVERAGE(J$7:J10)</f>
        <v>53.5</v>
      </c>
      <c r="Q10" s="9">
        <f>AVERAGE(K$7:K10)</f>
        <v>41.75</v>
      </c>
      <c r="S10" s="9">
        <f t="shared" si="1"/>
        <v>88.25</v>
      </c>
      <c r="T10" s="6">
        <f t="shared" si="2"/>
        <v>0.8781869688385269</v>
      </c>
      <c r="U10" s="6">
        <f t="shared" si="3"/>
        <v>0.7365439093484419</v>
      </c>
      <c r="V10" s="6">
        <f t="shared" si="4"/>
        <v>0.6062322946175638</v>
      </c>
      <c r="W10" s="6">
        <f t="shared" si="5"/>
        <v>0.4730878186968839</v>
      </c>
      <c r="Y10" s="24">
        <f t="shared" si="6"/>
        <v>85</v>
      </c>
      <c r="Z10" s="24">
        <f t="shared" si="7"/>
        <v>74.2</v>
      </c>
      <c r="AA10" s="24">
        <f t="shared" si="8"/>
        <v>63.1</v>
      </c>
      <c r="AB10" s="24">
        <f t="shared" si="9"/>
        <v>53.3</v>
      </c>
      <c r="AC10" s="24">
        <f t="shared" si="10"/>
        <v>43.5</v>
      </c>
      <c r="AE10" s="6">
        <f t="shared" si="11"/>
        <v>0.48</v>
      </c>
      <c r="AF10" s="6">
        <f t="shared" si="12"/>
        <v>0.7142857142857143</v>
      </c>
      <c r="AG10" s="6">
        <f t="shared" si="13"/>
        <v>0.625</v>
      </c>
      <c r="AH10" s="6">
        <f>AVERAGE(AF$7:AF10)</f>
        <v>0.6517857142857143</v>
      </c>
      <c r="AI10" s="9">
        <f t="shared" si="14"/>
        <v>20</v>
      </c>
      <c r="AJ10">
        <v>8</v>
      </c>
      <c r="AL10">
        <f t="shared" si="15"/>
        <v>4</v>
      </c>
      <c r="AM10">
        <f t="shared" si="16"/>
        <v>48</v>
      </c>
      <c r="AN10" s="9">
        <f t="shared" si="17"/>
        <v>38.70967741935484</v>
      </c>
      <c r="AO10" s="24">
        <f t="shared" si="18"/>
        <v>62.5</v>
      </c>
      <c r="AP10" s="24">
        <f>AVERAGE(AN$7:AN10)</f>
        <v>45.16129032258065</v>
      </c>
      <c r="AQ10">
        <f t="shared" si="19"/>
        <v>12</v>
      </c>
      <c r="AR10">
        <v>19</v>
      </c>
      <c r="AS10" s="24">
        <f t="shared" si="20"/>
        <v>61.3</v>
      </c>
      <c r="AT10" s="24">
        <f t="shared" si="21"/>
        <v>55.95814132104455</v>
      </c>
      <c r="AV10">
        <v>21</v>
      </c>
      <c r="AW10">
        <f t="shared" si="22"/>
        <v>58</v>
      </c>
      <c r="AX10" s="9">
        <f t="shared" si="22"/>
        <v>58.06451612903226</v>
      </c>
    </row>
    <row r="11" spans="1:50" ht="12">
      <c r="A11">
        <v>5</v>
      </c>
      <c r="B11">
        <v>24</v>
      </c>
      <c r="C11" s="9"/>
      <c r="D11" s="24">
        <f>AVERAGE(B$7:B11)</f>
        <v>54.8</v>
      </c>
      <c r="E11" s="24">
        <f t="shared" si="0"/>
        <v>61.3</v>
      </c>
      <c r="G11">
        <v>53</v>
      </c>
      <c r="H11">
        <v>36</v>
      </c>
      <c r="I11">
        <v>24</v>
      </c>
      <c r="J11">
        <v>14</v>
      </c>
      <c r="K11">
        <v>11</v>
      </c>
      <c r="M11" s="9">
        <f>AVERAGE(G$7:G11)</f>
        <v>81.2</v>
      </c>
      <c r="N11" s="9">
        <f>AVERAGE(H$7:H11)</f>
        <v>69.2</v>
      </c>
      <c r="O11" s="9">
        <f>AVERAGE(I$7:I11)</f>
        <v>56.8</v>
      </c>
      <c r="P11" s="9">
        <f>AVERAGE(J$7:J11)</f>
        <v>45.6</v>
      </c>
      <c r="Q11" s="9">
        <f>AVERAGE(K$7:K11)</f>
        <v>35.6</v>
      </c>
      <c r="S11" s="9">
        <f t="shared" si="1"/>
        <v>81.2</v>
      </c>
      <c r="T11" s="6">
        <f t="shared" si="2"/>
        <v>0.8522167487684729</v>
      </c>
      <c r="U11" s="6">
        <f t="shared" si="3"/>
        <v>0.6995073891625615</v>
      </c>
      <c r="V11" s="6">
        <f t="shared" si="4"/>
        <v>0.5615763546798029</v>
      </c>
      <c r="W11" s="6">
        <f t="shared" si="5"/>
        <v>0.43842364532019706</v>
      </c>
      <c r="Y11" s="24">
        <f t="shared" si="6"/>
        <v>85</v>
      </c>
      <c r="Z11" s="24">
        <f t="shared" si="7"/>
        <v>74.2</v>
      </c>
      <c r="AA11" s="24">
        <f t="shared" si="8"/>
        <v>63.1</v>
      </c>
      <c r="AB11" s="24">
        <f t="shared" si="9"/>
        <v>53.3</v>
      </c>
      <c r="AC11" s="24">
        <f t="shared" si="10"/>
        <v>43.5</v>
      </c>
      <c r="AE11" s="6">
        <f t="shared" si="11"/>
        <v>0.24</v>
      </c>
      <c r="AF11" s="6">
        <f t="shared" si="12"/>
        <v>0.8214285714285714</v>
      </c>
      <c r="AG11" s="6">
        <f t="shared" si="13"/>
        <v>0.5479999999999999</v>
      </c>
      <c r="AH11" s="6">
        <f>AVERAGE(AF$7:AF11)</f>
        <v>0.6857142857142857</v>
      </c>
      <c r="AI11" s="9">
        <f t="shared" si="14"/>
        <v>23</v>
      </c>
      <c r="AJ11">
        <v>5</v>
      </c>
      <c r="AL11">
        <f t="shared" si="15"/>
        <v>5</v>
      </c>
      <c r="AM11">
        <f t="shared" si="16"/>
        <v>24</v>
      </c>
      <c r="AN11" s="9">
        <f t="shared" si="17"/>
        <v>90.32258064516128</v>
      </c>
      <c r="AO11" s="24">
        <f t="shared" si="18"/>
        <v>54.8</v>
      </c>
      <c r="AP11" s="24">
        <f>AVERAGE(AN$7:AN11)</f>
        <v>54.19354838709678</v>
      </c>
      <c r="AQ11">
        <f t="shared" si="19"/>
        <v>28</v>
      </c>
      <c r="AR11">
        <v>3</v>
      </c>
      <c r="AS11" s="24">
        <f t="shared" si="20"/>
        <v>61.3</v>
      </c>
      <c r="AT11" s="24">
        <f t="shared" si="21"/>
        <v>55.95814132104455</v>
      </c>
      <c r="AV11">
        <v>24</v>
      </c>
      <c r="AW11">
        <f>AM30</f>
        <v>70</v>
      </c>
      <c r="AX11" s="9">
        <f>AN30</f>
        <v>87.09677419354838</v>
      </c>
    </row>
    <row r="12" spans="1:50" ht="12">
      <c r="A12">
        <v>6</v>
      </c>
      <c r="B12">
        <v>63</v>
      </c>
      <c r="C12" s="9"/>
      <c r="D12" s="24">
        <f>AVERAGE(B$7:B12)</f>
        <v>56.166666666666664</v>
      </c>
      <c r="E12" s="24">
        <f t="shared" si="0"/>
        <v>61.3</v>
      </c>
      <c r="G12">
        <v>92</v>
      </c>
      <c r="H12">
        <v>81</v>
      </c>
      <c r="I12">
        <v>66</v>
      </c>
      <c r="J12">
        <v>54</v>
      </c>
      <c r="K12">
        <v>36</v>
      </c>
      <c r="M12" s="9">
        <f>AVERAGE(G$7:G12)</f>
        <v>83</v>
      </c>
      <c r="N12" s="9">
        <f>AVERAGE(H$7:H12)</f>
        <v>71.16666666666667</v>
      </c>
      <c r="O12" s="9">
        <f>AVERAGE(I$7:I12)</f>
        <v>58.333333333333336</v>
      </c>
      <c r="P12" s="9">
        <f>AVERAGE(J$7:J12)</f>
        <v>47</v>
      </c>
      <c r="Q12" s="9">
        <f>AVERAGE(K$7:K12)</f>
        <v>35.666666666666664</v>
      </c>
      <c r="S12" s="9">
        <f t="shared" si="1"/>
        <v>83</v>
      </c>
      <c r="T12" s="6">
        <f t="shared" si="2"/>
        <v>0.857429718875502</v>
      </c>
      <c r="U12" s="6">
        <f t="shared" si="3"/>
        <v>0.7028112449799198</v>
      </c>
      <c r="V12" s="6">
        <f t="shared" si="4"/>
        <v>0.5662650602409639</v>
      </c>
      <c r="W12" s="6">
        <f t="shared" si="5"/>
        <v>0.429718875502008</v>
      </c>
      <c r="Y12" s="24">
        <f t="shared" si="6"/>
        <v>85</v>
      </c>
      <c r="Z12" s="24">
        <f t="shared" si="7"/>
        <v>74.2</v>
      </c>
      <c r="AA12" s="24">
        <f t="shared" si="8"/>
        <v>63.1</v>
      </c>
      <c r="AB12" s="24">
        <f t="shared" si="9"/>
        <v>53.3</v>
      </c>
      <c r="AC12" s="24">
        <f t="shared" si="10"/>
        <v>43.5</v>
      </c>
      <c r="AE12" s="6">
        <f t="shared" si="11"/>
        <v>0.63</v>
      </c>
      <c r="AF12" s="6">
        <f t="shared" si="12"/>
        <v>0.5</v>
      </c>
      <c r="AG12" s="6">
        <f t="shared" si="13"/>
        <v>0.5616666666666666</v>
      </c>
      <c r="AH12" s="6">
        <f>AVERAGE(AF$7:AF12)</f>
        <v>0.6547619047619048</v>
      </c>
      <c r="AI12" s="9">
        <f t="shared" si="14"/>
        <v>14</v>
      </c>
      <c r="AJ12">
        <v>14</v>
      </c>
      <c r="AL12">
        <f t="shared" si="15"/>
        <v>6</v>
      </c>
      <c r="AM12">
        <f t="shared" si="16"/>
        <v>63</v>
      </c>
      <c r="AN12" s="9">
        <f t="shared" si="17"/>
        <v>77.41935483870968</v>
      </c>
      <c r="AO12" s="24">
        <f t="shared" si="18"/>
        <v>56.166666666666664</v>
      </c>
      <c r="AP12" s="24">
        <f>AVERAGE(AN$7:AN12)</f>
        <v>58.06451612903226</v>
      </c>
      <c r="AQ12">
        <f t="shared" si="19"/>
        <v>24</v>
      </c>
      <c r="AR12">
        <v>7</v>
      </c>
      <c r="AS12" s="24">
        <f t="shared" si="20"/>
        <v>61.3</v>
      </c>
      <c r="AT12" s="24">
        <f t="shared" si="21"/>
        <v>55.95814132104455</v>
      </c>
      <c r="AV12">
        <v>26</v>
      </c>
      <c r="AW12">
        <f>AM32</f>
        <v>64</v>
      </c>
      <c r="AX12" s="9">
        <f>AN32</f>
        <v>87.09677419354838</v>
      </c>
    </row>
    <row r="13" spans="1:50" ht="12">
      <c r="A13">
        <v>7</v>
      </c>
      <c r="B13">
        <v>58</v>
      </c>
      <c r="C13" s="9"/>
      <c r="D13" s="24">
        <f>AVERAGE(B$7:B13)</f>
        <v>56.42857142857143</v>
      </c>
      <c r="E13" s="24">
        <f t="shared" si="0"/>
        <v>61.3</v>
      </c>
      <c r="G13">
        <v>83</v>
      </c>
      <c r="H13">
        <v>69</v>
      </c>
      <c r="I13">
        <v>59</v>
      </c>
      <c r="J13">
        <v>50</v>
      </c>
      <c r="K13">
        <v>43</v>
      </c>
      <c r="M13" s="9">
        <f>AVERAGE(G$7:G13)</f>
        <v>83</v>
      </c>
      <c r="N13" s="9">
        <f>AVERAGE(H$7:H13)</f>
        <v>70.85714285714286</v>
      </c>
      <c r="O13" s="9">
        <f>AVERAGE(I$7:I13)</f>
        <v>58.42857142857143</v>
      </c>
      <c r="P13" s="9">
        <f>AVERAGE(J$7:J13)</f>
        <v>47.42857142857143</v>
      </c>
      <c r="Q13" s="9">
        <f>AVERAGE(K$7:K13)</f>
        <v>36.714285714285715</v>
      </c>
      <c r="S13" s="9">
        <f t="shared" si="1"/>
        <v>83</v>
      </c>
      <c r="T13" s="6">
        <f t="shared" si="2"/>
        <v>0.8537005163511188</v>
      </c>
      <c r="U13" s="6">
        <f t="shared" si="3"/>
        <v>0.7039586919104992</v>
      </c>
      <c r="V13" s="6">
        <f t="shared" si="4"/>
        <v>0.5714285714285715</v>
      </c>
      <c r="W13" s="6">
        <f t="shared" si="5"/>
        <v>0.4423407917383821</v>
      </c>
      <c r="Y13" s="24">
        <f t="shared" si="6"/>
        <v>85</v>
      </c>
      <c r="Z13" s="24">
        <f t="shared" si="7"/>
        <v>74.2</v>
      </c>
      <c r="AA13" s="24">
        <f t="shared" si="8"/>
        <v>63.1</v>
      </c>
      <c r="AB13" s="24">
        <f t="shared" si="9"/>
        <v>53.3</v>
      </c>
      <c r="AC13" s="24">
        <f t="shared" si="10"/>
        <v>43.5</v>
      </c>
      <c r="AE13" s="6">
        <f t="shared" si="11"/>
        <v>0.58</v>
      </c>
      <c r="AF13" s="6">
        <f t="shared" si="12"/>
        <v>1</v>
      </c>
      <c r="AG13" s="6">
        <f t="shared" si="13"/>
        <v>0.5642857142857143</v>
      </c>
      <c r="AH13" s="6">
        <f>AVERAGE(AF$7:AF13)</f>
        <v>0.7040816326530612</v>
      </c>
      <c r="AI13" s="9">
        <f t="shared" si="14"/>
        <v>28</v>
      </c>
      <c r="AJ13">
        <v>0</v>
      </c>
      <c r="AL13">
        <f t="shared" si="15"/>
        <v>7</v>
      </c>
      <c r="AM13">
        <f t="shared" si="16"/>
        <v>58</v>
      </c>
      <c r="AN13" s="9">
        <f t="shared" si="17"/>
        <v>45.16129032258064</v>
      </c>
      <c r="AO13" s="24">
        <f t="shared" si="18"/>
        <v>56.42857142857143</v>
      </c>
      <c r="AP13" s="24">
        <f>AVERAGE(AN$7:AN13)</f>
        <v>56.221198156682036</v>
      </c>
      <c r="AQ13">
        <f t="shared" si="19"/>
        <v>14</v>
      </c>
      <c r="AR13">
        <v>17</v>
      </c>
      <c r="AS13" s="24">
        <f t="shared" si="20"/>
        <v>61.3</v>
      </c>
      <c r="AT13" s="24">
        <f t="shared" si="21"/>
        <v>55.95814132104455</v>
      </c>
      <c r="AV13">
        <v>31</v>
      </c>
      <c r="AW13">
        <f aca="true" t="shared" si="23" ref="AW13:AX17">AM37</f>
        <v>61</v>
      </c>
      <c r="AX13" s="9">
        <f t="shared" si="23"/>
        <v>87.09677419354838</v>
      </c>
    </row>
    <row r="14" spans="1:50" ht="12">
      <c r="A14">
        <v>8</v>
      </c>
      <c r="B14">
        <v>42</v>
      </c>
      <c r="C14" s="9"/>
      <c r="D14" s="24">
        <f>AVERAGE(B$7:B14)</f>
        <v>54.625</v>
      </c>
      <c r="E14" s="24">
        <f t="shared" si="0"/>
        <v>61.3</v>
      </c>
      <c r="G14">
        <v>75</v>
      </c>
      <c r="H14">
        <v>57</v>
      </c>
      <c r="I14">
        <v>40</v>
      </c>
      <c r="J14">
        <v>30</v>
      </c>
      <c r="K14">
        <v>27</v>
      </c>
      <c r="M14" s="9">
        <f>AVERAGE(G$7:G14)</f>
        <v>82</v>
      </c>
      <c r="N14" s="9">
        <f>AVERAGE(H$7:H14)</f>
        <v>69.125</v>
      </c>
      <c r="O14" s="9">
        <f>AVERAGE(I$7:I14)</f>
        <v>56.125</v>
      </c>
      <c r="P14" s="9">
        <f>AVERAGE(J$7:J14)</f>
        <v>45.25</v>
      </c>
      <c r="Q14" s="9">
        <f>AVERAGE(K$7:K14)</f>
        <v>35.5</v>
      </c>
      <c r="S14" s="9">
        <f t="shared" si="1"/>
        <v>82</v>
      </c>
      <c r="T14" s="6">
        <f t="shared" si="2"/>
        <v>0.8429878048780488</v>
      </c>
      <c r="U14" s="6">
        <f t="shared" si="3"/>
        <v>0.6844512195121951</v>
      </c>
      <c r="V14" s="6">
        <f t="shared" si="4"/>
        <v>0.551829268292683</v>
      </c>
      <c r="W14" s="6">
        <f t="shared" si="5"/>
        <v>0.4329268292682927</v>
      </c>
      <c r="Y14" s="24">
        <f t="shared" si="6"/>
        <v>85</v>
      </c>
      <c r="Z14" s="24">
        <f t="shared" si="7"/>
        <v>74.2</v>
      </c>
      <c r="AA14" s="24">
        <f t="shared" si="8"/>
        <v>63.1</v>
      </c>
      <c r="AB14" s="24">
        <f t="shared" si="9"/>
        <v>53.3</v>
      </c>
      <c r="AC14" s="24">
        <f t="shared" si="10"/>
        <v>43.5</v>
      </c>
      <c r="AE14" s="6">
        <f t="shared" si="11"/>
        <v>0.42</v>
      </c>
      <c r="AF14" s="6">
        <f t="shared" si="12"/>
        <v>0.7857142857142857</v>
      </c>
      <c r="AG14" s="6">
        <f t="shared" si="13"/>
        <v>0.54625</v>
      </c>
      <c r="AH14" s="6">
        <f>AVERAGE(AF$7:AF14)</f>
        <v>0.7142857142857143</v>
      </c>
      <c r="AI14" s="9">
        <f t="shared" si="14"/>
        <v>22</v>
      </c>
      <c r="AJ14">
        <v>6</v>
      </c>
      <c r="AL14">
        <f t="shared" si="15"/>
        <v>8</v>
      </c>
      <c r="AM14">
        <f t="shared" si="16"/>
        <v>42</v>
      </c>
      <c r="AN14" s="9">
        <f t="shared" si="17"/>
        <v>67.74193548387096</v>
      </c>
      <c r="AO14" s="24">
        <f t="shared" si="18"/>
        <v>54.625</v>
      </c>
      <c r="AP14" s="24">
        <f>AVERAGE(AN$7:AN14)</f>
        <v>57.661290322580655</v>
      </c>
      <c r="AQ14">
        <f t="shared" si="19"/>
        <v>21</v>
      </c>
      <c r="AR14">
        <v>10</v>
      </c>
      <c r="AS14" s="24">
        <f t="shared" si="20"/>
        <v>61.3</v>
      </c>
      <c r="AT14" s="24">
        <f t="shared" si="21"/>
        <v>55.95814132104455</v>
      </c>
      <c r="AV14">
        <v>32</v>
      </c>
      <c r="AW14">
        <f t="shared" si="23"/>
        <v>61</v>
      </c>
      <c r="AX14" s="9">
        <f t="shared" si="23"/>
        <v>74.19354838709677</v>
      </c>
    </row>
    <row r="15" spans="1:50" ht="12">
      <c r="A15">
        <v>9</v>
      </c>
      <c r="B15">
        <v>90</v>
      </c>
      <c r="C15" s="9"/>
      <c r="D15" s="24">
        <f>AVERAGE(B$7:B15)</f>
        <v>58.55555555555556</v>
      </c>
      <c r="E15" s="24">
        <f t="shared" si="0"/>
        <v>61.3</v>
      </c>
      <c r="G15">
        <v>99</v>
      </c>
      <c r="H15">
        <v>97</v>
      </c>
      <c r="I15">
        <v>94</v>
      </c>
      <c r="J15">
        <v>89</v>
      </c>
      <c r="K15">
        <v>76</v>
      </c>
      <c r="M15" s="9">
        <f>AVERAGE(G$7:G15)</f>
        <v>83.88888888888889</v>
      </c>
      <c r="N15" s="9">
        <f>AVERAGE(H$7:H15)</f>
        <v>72.22222222222223</v>
      </c>
      <c r="O15" s="9">
        <f>AVERAGE(I$7:I15)</f>
        <v>60.333333333333336</v>
      </c>
      <c r="P15" s="9">
        <f>AVERAGE(J$7:J15)</f>
        <v>50.111111111111114</v>
      </c>
      <c r="Q15" s="9">
        <f>AVERAGE(K$7:K15)</f>
        <v>40</v>
      </c>
      <c r="S15" s="9">
        <f t="shared" si="1"/>
        <v>83.88888888888889</v>
      </c>
      <c r="T15" s="6">
        <f t="shared" si="2"/>
        <v>0.8609271523178809</v>
      </c>
      <c r="U15" s="6">
        <f t="shared" si="3"/>
        <v>0.7192052980132451</v>
      </c>
      <c r="V15" s="6">
        <f t="shared" si="4"/>
        <v>0.5973509933774835</v>
      </c>
      <c r="W15" s="6">
        <f t="shared" si="5"/>
        <v>0.4768211920529801</v>
      </c>
      <c r="Y15" s="24">
        <f t="shared" si="6"/>
        <v>85</v>
      </c>
      <c r="Z15" s="24">
        <f t="shared" si="7"/>
        <v>74.2</v>
      </c>
      <c r="AA15" s="24">
        <f t="shared" si="8"/>
        <v>63.1</v>
      </c>
      <c r="AB15" s="24">
        <f t="shared" si="9"/>
        <v>53.3</v>
      </c>
      <c r="AC15" s="24">
        <f t="shared" si="10"/>
        <v>43.5</v>
      </c>
      <c r="AE15" s="6">
        <f t="shared" si="11"/>
        <v>0.9</v>
      </c>
      <c r="AF15" s="6">
        <f t="shared" si="12"/>
        <v>0.6071428571428571</v>
      </c>
      <c r="AG15" s="6">
        <f t="shared" si="13"/>
        <v>0.5855555555555556</v>
      </c>
      <c r="AH15" s="6">
        <f>AVERAGE(AF$7:AF15)</f>
        <v>0.7023809523809523</v>
      </c>
      <c r="AI15" s="9">
        <f t="shared" si="14"/>
        <v>17</v>
      </c>
      <c r="AJ15">
        <v>11</v>
      </c>
      <c r="AL15">
        <f t="shared" si="15"/>
        <v>9</v>
      </c>
      <c r="AM15">
        <f t="shared" si="16"/>
        <v>90</v>
      </c>
      <c r="AN15" s="9">
        <f t="shared" si="17"/>
        <v>61.29032258064516</v>
      </c>
      <c r="AO15" s="24">
        <f t="shared" si="18"/>
        <v>58.55555555555556</v>
      </c>
      <c r="AP15" s="24">
        <f>AVERAGE(AN$7:AN15)</f>
        <v>58.06451612903226</v>
      </c>
      <c r="AQ15">
        <f t="shared" si="19"/>
        <v>19</v>
      </c>
      <c r="AR15">
        <v>12</v>
      </c>
      <c r="AS15" s="24">
        <f t="shared" si="20"/>
        <v>61.3</v>
      </c>
      <c r="AT15" s="24">
        <f t="shared" si="21"/>
        <v>55.95814132104455</v>
      </c>
      <c r="AV15">
        <v>33</v>
      </c>
      <c r="AW15">
        <f t="shared" si="23"/>
        <v>57</v>
      </c>
      <c r="AX15" s="9">
        <f t="shared" si="23"/>
        <v>77.41935483870968</v>
      </c>
    </row>
    <row r="16" spans="1:50" ht="12">
      <c r="A16">
        <v>10</v>
      </c>
      <c r="B16">
        <v>86</v>
      </c>
      <c r="C16" s="9">
        <f aca="true" t="shared" si="24" ref="C16:C47">AVERAGE(B7:B16)</f>
        <v>61.3</v>
      </c>
      <c r="D16" s="24">
        <f>AVERAGE(B$7:B16)</f>
        <v>61.3</v>
      </c>
      <c r="E16" s="24">
        <f t="shared" si="0"/>
        <v>61.3</v>
      </c>
      <c r="G16">
        <v>95</v>
      </c>
      <c r="H16">
        <v>92</v>
      </c>
      <c r="I16">
        <v>88</v>
      </c>
      <c r="J16">
        <v>82</v>
      </c>
      <c r="K16">
        <v>75</v>
      </c>
      <c r="M16" s="9">
        <f>AVERAGE(G$7:G16)</f>
        <v>85</v>
      </c>
      <c r="N16" s="9">
        <f>AVERAGE(H$7:H16)</f>
        <v>74.2</v>
      </c>
      <c r="O16" s="9">
        <f>AVERAGE(I$7:I16)</f>
        <v>63.1</v>
      </c>
      <c r="P16" s="9">
        <f>AVERAGE(J$7:J16)</f>
        <v>53.3</v>
      </c>
      <c r="Q16" s="9">
        <f>AVERAGE(K$7:K16)</f>
        <v>43.5</v>
      </c>
      <c r="S16" s="9">
        <f t="shared" si="1"/>
        <v>85</v>
      </c>
      <c r="T16" s="6">
        <f t="shared" si="2"/>
        <v>0.8729411764705882</v>
      </c>
      <c r="U16" s="6">
        <f t="shared" si="3"/>
        <v>0.7423529411764707</v>
      </c>
      <c r="V16" s="6">
        <f t="shared" si="4"/>
        <v>0.6270588235294118</v>
      </c>
      <c r="W16" s="6">
        <f t="shared" si="5"/>
        <v>0.5117647058823529</v>
      </c>
      <c r="Y16" s="24">
        <f t="shared" si="6"/>
        <v>85</v>
      </c>
      <c r="Z16" s="24">
        <f t="shared" si="7"/>
        <v>74.2</v>
      </c>
      <c r="AA16" s="24">
        <f t="shared" si="8"/>
        <v>63.1</v>
      </c>
      <c r="AB16" s="24">
        <f t="shared" si="9"/>
        <v>53.3</v>
      </c>
      <c r="AC16" s="24">
        <f t="shared" si="10"/>
        <v>43.5</v>
      </c>
      <c r="AE16" s="6">
        <f t="shared" si="11"/>
        <v>0.86</v>
      </c>
      <c r="AF16" s="6">
        <f t="shared" si="12"/>
        <v>0.8928571428571429</v>
      </c>
      <c r="AG16" s="6">
        <f t="shared" si="13"/>
        <v>0.613</v>
      </c>
      <c r="AH16" s="6">
        <f>AVERAGE(AF$7:AF16)</f>
        <v>0.7214285714285714</v>
      </c>
      <c r="AI16" s="9">
        <f t="shared" si="14"/>
        <v>25</v>
      </c>
      <c r="AJ16">
        <v>3</v>
      </c>
      <c r="AL16">
        <f t="shared" si="15"/>
        <v>10</v>
      </c>
      <c r="AM16">
        <f t="shared" si="16"/>
        <v>86</v>
      </c>
      <c r="AN16" s="9">
        <f t="shared" si="17"/>
        <v>64.51612903225806</v>
      </c>
      <c r="AO16" s="24">
        <f t="shared" si="18"/>
        <v>61.3</v>
      </c>
      <c r="AP16" s="24">
        <f>AVERAGE(AN$7:AN16)</f>
        <v>58.70967741935484</v>
      </c>
      <c r="AQ16">
        <f t="shared" si="19"/>
        <v>20</v>
      </c>
      <c r="AR16">
        <v>11</v>
      </c>
      <c r="AS16" s="24">
        <f t="shared" si="20"/>
        <v>61.3</v>
      </c>
      <c r="AT16" s="24">
        <f t="shared" si="21"/>
        <v>55.95814132104455</v>
      </c>
      <c r="AV16">
        <v>34</v>
      </c>
      <c r="AW16">
        <f t="shared" si="23"/>
        <v>69</v>
      </c>
      <c r="AX16" s="9">
        <f t="shared" si="23"/>
        <v>93.54838709677419</v>
      </c>
    </row>
    <row r="17" spans="1:50" ht="12">
      <c r="A17">
        <v>11</v>
      </c>
      <c r="B17">
        <v>39</v>
      </c>
      <c r="C17" s="9">
        <f t="shared" si="24"/>
        <v>58.4</v>
      </c>
      <c r="D17" s="24">
        <f>AVERAGE(B$7:B17)</f>
        <v>59.27272727272727</v>
      </c>
      <c r="E17" s="24">
        <f aca="true" t="shared" si="25" ref="E17:E26">AVERAGE(B$17:B$26)</f>
        <v>59.1</v>
      </c>
      <c r="G17">
        <v>69</v>
      </c>
      <c r="H17">
        <v>50</v>
      </c>
      <c r="I17">
        <v>38</v>
      </c>
      <c r="J17">
        <v>30</v>
      </c>
      <c r="K17">
        <v>24</v>
      </c>
      <c r="M17" s="9">
        <f>AVERAGE(G$7:G17)</f>
        <v>83.54545454545455</v>
      </c>
      <c r="N17" s="9">
        <f>AVERAGE(H$7:H17)</f>
        <v>72</v>
      </c>
      <c r="O17" s="9">
        <f>AVERAGE(I$7:I17)</f>
        <v>60.81818181818182</v>
      </c>
      <c r="P17" s="9">
        <f>AVERAGE(J$7:J17)</f>
        <v>51.18181818181818</v>
      </c>
      <c r="Q17" s="9">
        <f>AVERAGE(K$7:K17)</f>
        <v>41.72727272727273</v>
      </c>
      <c r="S17" s="9">
        <f t="shared" si="1"/>
        <v>83.54545454545455</v>
      </c>
      <c r="T17" s="6">
        <f t="shared" si="2"/>
        <v>0.8618063112078346</v>
      </c>
      <c r="U17" s="6">
        <f t="shared" si="3"/>
        <v>0.7279651795429816</v>
      </c>
      <c r="V17" s="6">
        <f t="shared" si="4"/>
        <v>0.6126224156692056</v>
      </c>
      <c r="W17" s="6">
        <f t="shared" si="5"/>
        <v>0.4994559303590859</v>
      </c>
      <c r="Y17" s="24">
        <f aca="true" t="shared" si="26" ref="Y17:Y26">AVERAGE(G$17:G$26)</f>
        <v>85.1</v>
      </c>
      <c r="Z17" s="24">
        <f aca="true" t="shared" si="27" ref="Z17:Z26">AVERAGE(H$17:H$26)</f>
        <v>73.7</v>
      </c>
      <c r="AA17" s="24">
        <f aca="true" t="shared" si="28" ref="AA17:AA26">AVERAGE(I$17:I$26)</f>
        <v>62.7</v>
      </c>
      <c r="AB17" s="24">
        <f aca="true" t="shared" si="29" ref="AB17:AB26">AVERAGE(J$17:J$26)</f>
        <v>50.2</v>
      </c>
      <c r="AC17" s="24">
        <f aca="true" t="shared" si="30" ref="AC17:AC26">AVERAGE(K$17:K$26)</f>
        <v>36.6</v>
      </c>
      <c r="AE17" s="6">
        <f t="shared" si="11"/>
        <v>0.39</v>
      </c>
      <c r="AF17" s="6">
        <f t="shared" si="12"/>
        <v>0.2857142857142857</v>
      </c>
      <c r="AG17" s="6">
        <f t="shared" si="13"/>
        <v>0.5927272727272728</v>
      </c>
      <c r="AH17" s="6">
        <f>AVERAGE(AF$7:AF17)</f>
        <v>0.6818181818181818</v>
      </c>
      <c r="AI17" s="9">
        <f t="shared" si="14"/>
        <v>8</v>
      </c>
      <c r="AJ17">
        <v>20</v>
      </c>
      <c r="AL17">
        <f t="shared" si="15"/>
        <v>11</v>
      </c>
      <c r="AM17">
        <f t="shared" si="16"/>
        <v>39</v>
      </c>
      <c r="AN17" s="9">
        <f t="shared" si="17"/>
        <v>45.16129032258064</v>
      </c>
      <c r="AO17" s="24">
        <f t="shared" si="18"/>
        <v>59.27272727272727</v>
      </c>
      <c r="AP17" s="24">
        <f>AVERAGE(AN$7:AN17)</f>
        <v>57.47800586510264</v>
      </c>
      <c r="AQ17">
        <f t="shared" si="19"/>
        <v>14</v>
      </c>
      <c r="AR17">
        <v>17</v>
      </c>
      <c r="AS17" s="24">
        <f t="shared" si="20"/>
        <v>59.1</v>
      </c>
      <c r="AT17" s="24">
        <f aca="true" t="shared" si="31" ref="AT17:AT26">AVERAGE(AP$17:AP$26)</f>
        <v>61.496809460444226</v>
      </c>
      <c r="AV17">
        <v>35</v>
      </c>
      <c r="AW17">
        <f t="shared" si="23"/>
        <v>55</v>
      </c>
      <c r="AX17" s="9">
        <f t="shared" si="23"/>
        <v>64.51612903225806</v>
      </c>
    </row>
    <row r="18" spans="1:50" ht="12">
      <c r="A18">
        <v>12</v>
      </c>
      <c r="B18">
        <v>44</v>
      </c>
      <c r="C18" s="9">
        <f t="shared" si="24"/>
        <v>56.2</v>
      </c>
      <c r="D18" s="24">
        <f>AVERAGE(B$7:B18)</f>
        <v>58</v>
      </c>
      <c r="E18" s="24">
        <f t="shared" si="25"/>
        <v>59.1</v>
      </c>
      <c r="G18">
        <v>76</v>
      </c>
      <c r="H18">
        <v>58</v>
      </c>
      <c r="I18">
        <v>45</v>
      </c>
      <c r="J18">
        <v>34</v>
      </c>
      <c r="K18">
        <v>25</v>
      </c>
      <c r="M18" s="9">
        <f>AVERAGE(G$7:G18)</f>
        <v>82.91666666666667</v>
      </c>
      <c r="N18" s="9">
        <f>AVERAGE(H$7:H18)</f>
        <v>70.83333333333333</v>
      </c>
      <c r="O18" s="9">
        <f>AVERAGE(I$7:I18)</f>
        <v>59.5</v>
      </c>
      <c r="P18" s="9">
        <f>AVERAGE(J$7:J18)</f>
        <v>49.75</v>
      </c>
      <c r="Q18" s="9">
        <f>AVERAGE(K$7:K18)</f>
        <v>40.333333333333336</v>
      </c>
      <c r="S18" s="9">
        <f t="shared" si="1"/>
        <v>82.91666666666667</v>
      </c>
      <c r="T18" s="6">
        <f t="shared" si="2"/>
        <v>0.8542713567839195</v>
      </c>
      <c r="U18" s="6">
        <f t="shared" si="3"/>
        <v>0.7175879396984924</v>
      </c>
      <c r="V18" s="6">
        <f t="shared" si="4"/>
        <v>0.6</v>
      </c>
      <c r="W18" s="6">
        <f t="shared" si="5"/>
        <v>0.4864321608040201</v>
      </c>
      <c r="Y18" s="24">
        <f t="shared" si="26"/>
        <v>85.1</v>
      </c>
      <c r="Z18" s="24">
        <f t="shared" si="27"/>
        <v>73.7</v>
      </c>
      <c r="AA18" s="24">
        <f t="shared" si="28"/>
        <v>62.7</v>
      </c>
      <c r="AB18" s="24">
        <f t="shared" si="29"/>
        <v>50.2</v>
      </c>
      <c r="AC18" s="24">
        <f t="shared" si="30"/>
        <v>36.6</v>
      </c>
      <c r="AE18" s="6">
        <f t="shared" si="11"/>
        <v>0.44</v>
      </c>
      <c r="AF18" s="6">
        <f t="shared" si="12"/>
        <v>0.6428571428571429</v>
      </c>
      <c r="AG18" s="6">
        <f t="shared" si="13"/>
        <v>0.58</v>
      </c>
      <c r="AH18" s="6">
        <f>AVERAGE(AF$7:AF18)</f>
        <v>0.6785714285714285</v>
      </c>
      <c r="AI18" s="9">
        <f t="shared" si="14"/>
        <v>18</v>
      </c>
      <c r="AJ18">
        <v>10</v>
      </c>
      <c r="AL18">
        <f t="shared" si="15"/>
        <v>12</v>
      </c>
      <c r="AM18">
        <f t="shared" si="16"/>
        <v>44</v>
      </c>
      <c r="AN18" s="9">
        <f t="shared" si="17"/>
        <v>90.32258064516128</v>
      </c>
      <c r="AO18" s="24">
        <f t="shared" si="18"/>
        <v>58</v>
      </c>
      <c r="AP18" s="24">
        <f>AVERAGE(AN$7:AN18)</f>
        <v>60.21505376344086</v>
      </c>
      <c r="AQ18">
        <f t="shared" si="19"/>
        <v>28</v>
      </c>
      <c r="AR18">
        <v>3</v>
      </c>
      <c r="AS18" s="24">
        <f t="shared" si="20"/>
        <v>59.1</v>
      </c>
      <c r="AT18" s="24">
        <f t="shared" si="31"/>
        <v>61.496809460444226</v>
      </c>
      <c r="AV18">
        <v>37</v>
      </c>
      <c r="AW18">
        <f>AM43</f>
        <v>30</v>
      </c>
      <c r="AX18" s="9">
        <f>AN43</f>
        <v>48.38709677419355</v>
      </c>
    </row>
    <row r="19" spans="1:50" ht="12">
      <c r="A19">
        <v>13</v>
      </c>
      <c r="B19">
        <v>35</v>
      </c>
      <c r="C19" s="9">
        <f t="shared" si="24"/>
        <v>52.9</v>
      </c>
      <c r="D19" s="24">
        <f>AVERAGE(B$7:B19)</f>
        <v>56.23076923076923</v>
      </c>
      <c r="E19" s="24">
        <f t="shared" si="25"/>
        <v>59.1</v>
      </c>
      <c r="G19">
        <v>68</v>
      </c>
      <c r="H19">
        <v>48</v>
      </c>
      <c r="I19">
        <v>34</v>
      </c>
      <c r="J19">
        <v>24</v>
      </c>
      <c r="K19">
        <v>19</v>
      </c>
      <c r="M19" s="9">
        <f>AVERAGE(G$7:G19)</f>
        <v>81.76923076923077</v>
      </c>
      <c r="N19" s="9">
        <f>AVERAGE(H$7:H19)</f>
        <v>69.07692307692308</v>
      </c>
      <c r="O19" s="9">
        <f>AVERAGE(I$7:I19)</f>
        <v>57.53846153846154</v>
      </c>
      <c r="P19" s="9">
        <f>AVERAGE(J$7:J19)</f>
        <v>47.76923076923077</v>
      </c>
      <c r="Q19" s="9">
        <f>AVERAGE(K$7:K19)</f>
        <v>38.69230769230769</v>
      </c>
      <c r="S19" s="9">
        <f t="shared" si="1"/>
        <v>81.76923076923077</v>
      </c>
      <c r="T19" s="6">
        <f t="shared" si="2"/>
        <v>0.8447789275634995</v>
      </c>
      <c r="U19" s="6">
        <f t="shared" si="3"/>
        <v>0.7036688617121355</v>
      </c>
      <c r="V19" s="6">
        <f t="shared" si="4"/>
        <v>0.5841956726246471</v>
      </c>
      <c r="W19" s="6">
        <f t="shared" si="5"/>
        <v>0.4731890874882408</v>
      </c>
      <c r="Y19" s="24">
        <f t="shared" si="26"/>
        <v>85.1</v>
      </c>
      <c r="Z19" s="24">
        <f t="shared" si="27"/>
        <v>73.7</v>
      </c>
      <c r="AA19" s="24">
        <f t="shared" si="28"/>
        <v>62.7</v>
      </c>
      <c r="AB19" s="24">
        <f t="shared" si="29"/>
        <v>50.2</v>
      </c>
      <c r="AC19" s="24">
        <f t="shared" si="30"/>
        <v>36.6</v>
      </c>
      <c r="AE19" s="6">
        <f t="shared" si="11"/>
        <v>0.35000000000000003</v>
      </c>
      <c r="AF19" s="6">
        <f t="shared" si="12"/>
        <v>0.75</v>
      </c>
      <c r="AG19" s="6">
        <f t="shared" si="13"/>
        <v>0.5623076923076924</v>
      </c>
      <c r="AH19" s="6">
        <f>AVERAGE(AF$7:AF19)</f>
        <v>0.6840659340659341</v>
      </c>
      <c r="AI19" s="9">
        <f t="shared" si="14"/>
        <v>21</v>
      </c>
      <c r="AJ19">
        <v>7</v>
      </c>
      <c r="AL19">
        <f t="shared" si="15"/>
        <v>13</v>
      </c>
      <c r="AM19">
        <f t="shared" si="16"/>
        <v>35</v>
      </c>
      <c r="AN19" s="9">
        <f t="shared" si="17"/>
        <v>38.70967741935484</v>
      </c>
      <c r="AO19" s="24">
        <f t="shared" si="18"/>
        <v>56.23076923076923</v>
      </c>
      <c r="AP19" s="24">
        <f>AVERAGE(AN$7:AN19)</f>
        <v>58.56079404466501</v>
      </c>
      <c r="AQ19">
        <f t="shared" si="19"/>
        <v>12</v>
      </c>
      <c r="AR19">
        <v>19</v>
      </c>
      <c r="AS19" s="24">
        <f t="shared" si="20"/>
        <v>59.1</v>
      </c>
      <c r="AT19" s="24">
        <f t="shared" si="31"/>
        <v>61.496809460444226</v>
      </c>
      <c r="AV19">
        <v>38</v>
      </c>
      <c r="AW19">
        <f>AM44</f>
        <v>48</v>
      </c>
      <c r="AX19" s="9">
        <f>AN44</f>
        <v>74.19354838709677</v>
      </c>
    </row>
    <row r="20" spans="1:50" ht="12">
      <c r="A20">
        <v>14</v>
      </c>
      <c r="B20">
        <v>73</v>
      </c>
      <c r="C20" s="9">
        <f t="shared" si="24"/>
        <v>55.4</v>
      </c>
      <c r="D20" s="24">
        <f>AVERAGE(B$7:B20)</f>
        <v>57.42857142857143</v>
      </c>
      <c r="E20" s="24">
        <f t="shared" si="25"/>
        <v>59.1</v>
      </c>
      <c r="G20">
        <v>91</v>
      </c>
      <c r="H20">
        <v>84</v>
      </c>
      <c r="I20">
        <v>76</v>
      </c>
      <c r="J20">
        <v>68</v>
      </c>
      <c r="K20">
        <v>56</v>
      </c>
      <c r="M20" s="9">
        <f>AVERAGE(G$7:G20)</f>
        <v>82.42857142857143</v>
      </c>
      <c r="N20" s="9">
        <f>AVERAGE(H$7:H20)</f>
        <v>70.14285714285714</v>
      </c>
      <c r="O20" s="9">
        <f>AVERAGE(I$7:I20)</f>
        <v>58.857142857142854</v>
      </c>
      <c r="P20" s="9">
        <f>AVERAGE(J$7:J20)</f>
        <v>49.214285714285715</v>
      </c>
      <c r="Q20" s="9">
        <f>AVERAGE(K$7:K20)</f>
        <v>39.92857142857143</v>
      </c>
      <c r="S20" s="9">
        <f t="shared" si="1"/>
        <v>82.42857142857143</v>
      </c>
      <c r="T20" s="6">
        <f t="shared" si="2"/>
        <v>0.850953206239168</v>
      </c>
      <c r="U20" s="6">
        <f t="shared" si="3"/>
        <v>0.7140381282495667</v>
      </c>
      <c r="V20" s="6">
        <f t="shared" si="4"/>
        <v>0.597053726169844</v>
      </c>
      <c r="W20" s="6">
        <f t="shared" si="5"/>
        <v>0.48440207972270366</v>
      </c>
      <c r="Y20" s="24">
        <f t="shared" si="26"/>
        <v>85.1</v>
      </c>
      <c r="Z20" s="24">
        <f t="shared" si="27"/>
        <v>73.7</v>
      </c>
      <c r="AA20" s="24">
        <f t="shared" si="28"/>
        <v>62.7</v>
      </c>
      <c r="AB20" s="24">
        <f t="shared" si="29"/>
        <v>50.2</v>
      </c>
      <c r="AC20" s="24">
        <f t="shared" si="30"/>
        <v>36.6</v>
      </c>
      <c r="AE20" s="6">
        <f t="shared" si="11"/>
        <v>0.73</v>
      </c>
      <c r="AF20" s="6">
        <f t="shared" si="12"/>
        <v>0.6071428571428571</v>
      </c>
      <c r="AG20" s="6">
        <f t="shared" si="13"/>
        <v>0.5742857142857143</v>
      </c>
      <c r="AH20" s="6">
        <f>AVERAGE(AF$7:AF20)</f>
        <v>0.6785714285714286</v>
      </c>
      <c r="AI20" s="9">
        <f t="shared" si="14"/>
        <v>17</v>
      </c>
      <c r="AJ20">
        <v>11</v>
      </c>
      <c r="AL20">
        <f t="shared" si="15"/>
        <v>14</v>
      </c>
      <c r="AM20">
        <f t="shared" si="16"/>
        <v>73</v>
      </c>
      <c r="AN20" s="9">
        <f t="shared" si="17"/>
        <v>96.7741935483871</v>
      </c>
      <c r="AO20" s="24">
        <f t="shared" si="18"/>
        <v>57.42857142857143</v>
      </c>
      <c r="AP20" s="24">
        <f>AVERAGE(AN$7:AN20)</f>
        <v>61.29032258064516</v>
      </c>
      <c r="AQ20">
        <f t="shared" si="19"/>
        <v>30</v>
      </c>
      <c r="AR20">
        <v>1</v>
      </c>
      <c r="AS20" s="24">
        <f t="shared" si="20"/>
        <v>59.1</v>
      </c>
      <c r="AT20" s="24">
        <f t="shared" si="31"/>
        <v>61.496809460444226</v>
      </c>
      <c r="AV20">
        <v>51</v>
      </c>
      <c r="AW20">
        <f aca="true" t="shared" si="32" ref="AW20:AX24">AM57</f>
        <v>52</v>
      </c>
      <c r="AX20" s="9">
        <f t="shared" si="32"/>
        <v>54.83870967741935</v>
      </c>
    </row>
    <row r="21" spans="1:50" ht="12">
      <c r="A21">
        <v>15</v>
      </c>
      <c r="B21">
        <v>70</v>
      </c>
      <c r="C21" s="9">
        <f t="shared" si="24"/>
        <v>60</v>
      </c>
      <c r="D21" s="24">
        <f>AVERAGE(B$7:B21)</f>
        <v>58.266666666666666</v>
      </c>
      <c r="E21" s="24">
        <f t="shared" si="25"/>
        <v>59.1</v>
      </c>
      <c r="G21">
        <v>90</v>
      </c>
      <c r="H21">
        <v>82</v>
      </c>
      <c r="I21">
        <v>74</v>
      </c>
      <c r="J21">
        <v>64</v>
      </c>
      <c r="K21">
        <v>49</v>
      </c>
      <c r="M21" s="9">
        <f>AVERAGE(G$7:G21)</f>
        <v>82.93333333333334</v>
      </c>
      <c r="N21" s="9">
        <f>AVERAGE(H$7:H21)</f>
        <v>70.93333333333334</v>
      </c>
      <c r="O21" s="9">
        <f>AVERAGE(I$7:I21)</f>
        <v>59.86666666666667</v>
      </c>
      <c r="P21" s="9">
        <f>AVERAGE(J$7:J21)</f>
        <v>50.2</v>
      </c>
      <c r="Q21" s="9">
        <f>AVERAGE(K$7:K21)</f>
        <v>40.53333333333333</v>
      </c>
      <c r="S21" s="9">
        <f t="shared" si="1"/>
        <v>82.93333333333334</v>
      </c>
      <c r="T21" s="6">
        <f t="shared" si="2"/>
        <v>0.8553054662379421</v>
      </c>
      <c r="U21" s="6">
        <f t="shared" si="3"/>
        <v>0.7218649517684887</v>
      </c>
      <c r="V21" s="6">
        <f t="shared" si="4"/>
        <v>0.6053054662379421</v>
      </c>
      <c r="W21" s="6">
        <f t="shared" si="5"/>
        <v>0.48874598070739544</v>
      </c>
      <c r="Y21" s="24">
        <f t="shared" si="26"/>
        <v>85.1</v>
      </c>
      <c r="Z21" s="24">
        <f t="shared" si="27"/>
        <v>73.7</v>
      </c>
      <c r="AA21" s="24">
        <f t="shared" si="28"/>
        <v>62.7</v>
      </c>
      <c r="AB21" s="24">
        <f t="shared" si="29"/>
        <v>50.2</v>
      </c>
      <c r="AC21" s="24">
        <f t="shared" si="30"/>
        <v>36.6</v>
      </c>
      <c r="AE21" s="6">
        <f t="shared" si="11"/>
        <v>0.7000000000000001</v>
      </c>
      <c r="AF21" s="6">
        <f t="shared" si="12"/>
        <v>0.4642857142857143</v>
      </c>
      <c r="AG21" s="6">
        <f t="shared" si="13"/>
        <v>0.5826666666666667</v>
      </c>
      <c r="AH21" s="6">
        <f>AVERAGE(AF$7:AF21)</f>
        <v>0.6642857142857143</v>
      </c>
      <c r="AI21" s="9">
        <f t="shared" si="14"/>
        <v>13</v>
      </c>
      <c r="AJ21">
        <v>15</v>
      </c>
      <c r="AL21">
        <f t="shared" si="15"/>
        <v>15</v>
      </c>
      <c r="AM21">
        <f t="shared" si="16"/>
        <v>70</v>
      </c>
      <c r="AN21" s="9">
        <f t="shared" si="17"/>
        <v>87.09677419354838</v>
      </c>
      <c r="AO21" s="24">
        <f t="shared" si="18"/>
        <v>58.266666666666666</v>
      </c>
      <c r="AP21" s="24">
        <f>AVERAGE(AN$7:AN21)</f>
        <v>63.01075268817204</v>
      </c>
      <c r="AQ21">
        <f t="shared" si="19"/>
        <v>27</v>
      </c>
      <c r="AR21">
        <v>4</v>
      </c>
      <c r="AS21" s="24">
        <f t="shared" si="20"/>
        <v>59.1</v>
      </c>
      <c r="AT21" s="24">
        <f t="shared" si="31"/>
        <v>61.496809460444226</v>
      </c>
      <c r="AV21">
        <v>52</v>
      </c>
      <c r="AW21">
        <f t="shared" si="32"/>
        <v>43</v>
      </c>
      <c r="AX21" s="9">
        <f t="shared" si="32"/>
        <v>80.64516129032258</v>
      </c>
    </row>
    <row r="22" spans="1:50" ht="12">
      <c r="A22">
        <v>16</v>
      </c>
      <c r="B22">
        <v>47</v>
      </c>
      <c r="C22" s="9">
        <f t="shared" si="24"/>
        <v>58.4</v>
      </c>
      <c r="D22" s="24">
        <f>AVERAGE(B$7:B22)</f>
        <v>57.5625</v>
      </c>
      <c r="E22" s="24">
        <f t="shared" si="25"/>
        <v>59.1</v>
      </c>
      <c r="G22">
        <v>86</v>
      </c>
      <c r="H22">
        <v>70</v>
      </c>
      <c r="I22">
        <v>52</v>
      </c>
      <c r="J22">
        <v>30</v>
      </c>
      <c r="K22">
        <v>18</v>
      </c>
      <c r="M22" s="9">
        <f>AVERAGE(G$7:G22)</f>
        <v>83.125</v>
      </c>
      <c r="N22" s="9">
        <f>AVERAGE(H$7:H22)</f>
        <v>70.875</v>
      </c>
      <c r="O22" s="9">
        <f>AVERAGE(I$7:I22)</f>
        <v>59.375</v>
      </c>
      <c r="P22" s="9">
        <f>AVERAGE(J$7:J22)</f>
        <v>48.9375</v>
      </c>
      <c r="Q22" s="9">
        <f>AVERAGE(K$7:K22)</f>
        <v>39.125</v>
      </c>
      <c r="S22" s="9">
        <f t="shared" si="1"/>
        <v>83.125</v>
      </c>
      <c r="T22" s="6">
        <f t="shared" si="2"/>
        <v>0.8526315789473684</v>
      </c>
      <c r="U22" s="6">
        <f t="shared" si="3"/>
        <v>0.7142857142857143</v>
      </c>
      <c r="V22" s="6">
        <f t="shared" si="4"/>
        <v>0.5887218045112782</v>
      </c>
      <c r="W22" s="6">
        <f t="shared" si="5"/>
        <v>0.4706766917293233</v>
      </c>
      <c r="Y22" s="24">
        <f t="shared" si="26"/>
        <v>85.1</v>
      </c>
      <c r="Z22" s="24">
        <f t="shared" si="27"/>
        <v>73.7</v>
      </c>
      <c r="AA22" s="24">
        <f t="shared" si="28"/>
        <v>62.7</v>
      </c>
      <c r="AB22" s="24">
        <f t="shared" si="29"/>
        <v>50.2</v>
      </c>
      <c r="AC22" s="24">
        <f t="shared" si="30"/>
        <v>36.6</v>
      </c>
      <c r="AE22" s="6">
        <f t="shared" si="11"/>
        <v>0.47000000000000003</v>
      </c>
      <c r="AF22" s="6">
        <f t="shared" si="12"/>
        <v>0.75</v>
      </c>
      <c r="AG22" s="6">
        <f t="shared" si="13"/>
        <v>0.575625</v>
      </c>
      <c r="AH22" s="6">
        <f>AVERAGE(AF$7:AF22)</f>
        <v>0.6696428571428571</v>
      </c>
      <c r="AI22" s="9">
        <f t="shared" si="14"/>
        <v>21</v>
      </c>
      <c r="AJ22">
        <v>7</v>
      </c>
      <c r="AL22">
        <f t="shared" si="15"/>
        <v>16</v>
      </c>
      <c r="AM22">
        <f t="shared" si="16"/>
        <v>47</v>
      </c>
      <c r="AN22" s="9">
        <f t="shared" si="17"/>
        <v>58.06451612903226</v>
      </c>
      <c r="AO22" s="24">
        <f t="shared" si="18"/>
        <v>57.5625</v>
      </c>
      <c r="AP22" s="24">
        <f>AVERAGE(AN$7:AN22)</f>
        <v>62.70161290322581</v>
      </c>
      <c r="AQ22">
        <f t="shared" si="19"/>
        <v>18</v>
      </c>
      <c r="AR22">
        <v>13</v>
      </c>
      <c r="AS22" s="24">
        <f t="shared" si="20"/>
        <v>59.1</v>
      </c>
      <c r="AT22" s="24">
        <f t="shared" si="31"/>
        <v>61.496809460444226</v>
      </c>
      <c r="AV22">
        <v>53</v>
      </c>
      <c r="AW22">
        <f t="shared" si="32"/>
        <v>15</v>
      </c>
      <c r="AX22" s="9">
        <f t="shared" si="32"/>
        <v>64.51612903225806</v>
      </c>
    </row>
    <row r="23" spans="1:50" ht="12">
      <c r="A23">
        <v>17</v>
      </c>
      <c r="B23">
        <v>85</v>
      </c>
      <c r="C23" s="9">
        <f t="shared" si="24"/>
        <v>61.1</v>
      </c>
      <c r="D23" s="24">
        <f>AVERAGE(B$7:B23)</f>
        <v>59.1764705882353</v>
      </c>
      <c r="E23" s="24">
        <f t="shared" si="25"/>
        <v>59.1</v>
      </c>
      <c r="G23">
        <v>96</v>
      </c>
      <c r="H23">
        <v>91</v>
      </c>
      <c r="I23">
        <v>88</v>
      </c>
      <c r="J23">
        <v>83</v>
      </c>
      <c r="K23">
        <v>72</v>
      </c>
      <c r="M23" s="9">
        <f>AVERAGE(G$7:G23)</f>
        <v>83.88235294117646</v>
      </c>
      <c r="N23" s="9">
        <f>AVERAGE(H$7:H23)</f>
        <v>72.05882352941177</v>
      </c>
      <c r="O23" s="9">
        <f>AVERAGE(I$7:I23)</f>
        <v>61.05882352941177</v>
      </c>
      <c r="P23" s="9">
        <f>AVERAGE(J$7:J23)</f>
        <v>50.94117647058823</v>
      </c>
      <c r="Q23" s="9">
        <f>AVERAGE(K$7:K23)</f>
        <v>41.05882352941177</v>
      </c>
      <c r="S23" s="9">
        <f t="shared" si="1"/>
        <v>83.88235294117646</v>
      </c>
      <c r="T23" s="6">
        <f t="shared" si="2"/>
        <v>0.859046283309958</v>
      </c>
      <c r="U23" s="6">
        <f t="shared" si="3"/>
        <v>0.7279102384291726</v>
      </c>
      <c r="V23" s="6">
        <f t="shared" si="4"/>
        <v>0.6072931276297335</v>
      </c>
      <c r="W23" s="6">
        <f t="shared" si="5"/>
        <v>0.48948106591865365</v>
      </c>
      <c r="Y23" s="24">
        <f t="shared" si="26"/>
        <v>85.1</v>
      </c>
      <c r="Z23" s="24">
        <f t="shared" si="27"/>
        <v>73.7</v>
      </c>
      <c r="AA23" s="24">
        <f t="shared" si="28"/>
        <v>62.7</v>
      </c>
      <c r="AB23" s="24">
        <f t="shared" si="29"/>
        <v>50.2</v>
      </c>
      <c r="AC23" s="24">
        <f t="shared" si="30"/>
        <v>36.6</v>
      </c>
      <c r="AE23" s="6">
        <f t="shared" si="11"/>
        <v>0.85</v>
      </c>
      <c r="AF23" s="6">
        <f t="shared" si="12"/>
        <v>0.9642857142857143</v>
      </c>
      <c r="AG23" s="6">
        <f t="shared" si="13"/>
        <v>0.591764705882353</v>
      </c>
      <c r="AH23" s="6">
        <f>AVERAGE(AF$7:AF23)</f>
        <v>0.6869747899159663</v>
      </c>
      <c r="AI23" s="9">
        <f t="shared" si="14"/>
        <v>27</v>
      </c>
      <c r="AJ23">
        <v>1</v>
      </c>
      <c r="AL23">
        <f t="shared" si="15"/>
        <v>17</v>
      </c>
      <c r="AM23">
        <f t="shared" si="16"/>
        <v>85</v>
      </c>
      <c r="AN23" s="9">
        <f t="shared" si="17"/>
        <v>67.74193548387096</v>
      </c>
      <c r="AO23" s="24">
        <f t="shared" si="18"/>
        <v>59.1764705882353</v>
      </c>
      <c r="AP23" s="24">
        <f>AVERAGE(AN$7:AN23)</f>
        <v>62.99810246679317</v>
      </c>
      <c r="AQ23">
        <f t="shared" si="19"/>
        <v>21</v>
      </c>
      <c r="AR23">
        <v>10</v>
      </c>
      <c r="AS23" s="24">
        <f t="shared" si="20"/>
        <v>59.1</v>
      </c>
      <c r="AT23" s="24">
        <f t="shared" si="31"/>
        <v>61.496809460444226</v>
      </c>
      <c r="AV23">
        <v>54</v>
      </c>
      <c r="AW23">
        <f t="shared" si="32"/>
        <v>36</v>
      </c>
      <c r="AX23" s="9">
        <f t="shared" si="32"/>
        <v>80.64516129032258</v>
      </c>
    </row>
    <row r="24" spans="1:50" ht="12">
      <c r="A24">
        <v>18</v>
      </c>
      <c r="B24">
        <v>63</v>
      </c>
      <c r="C24" s="9">
        <f t="shared" si="24"/>
        <v>63.2</v>
      </c>
      <c r="D24" s="24">
        <f>AVERAGE(B$7:B24)</f>
        <v>59.388888888888886</v>
      </c>
      <c r="E24" s="24">
        <f t="shared" si="25"/>
        <v>59.1</v>
      </c>
      <c r="G24">
        <v>86</v>
      </c>
      <c r="H24">
        <v>79</v>
      </c>
      <c r="I24">
        <v>67</v>
      </c>
      <c r="J24">
        <v>55</v>
      </c>
      <c r="K24">
        <v>37</v>
      </c>
      <c r="M24" s="9">
        <f>AVERAGE(G$7:G24)</f>
        <v>84</v>
      </c>
      <c r="N24" s="9">
        <f>AVERAGE(H$7:H24)</f>
        <v>72.44444444444444</v>
      </c>
      <c r="O24" s="9">
        <f>AVERAGE(I$7:I24)</f>
        <v>61.388888888888886</v>
      </c>
      <c r="P24" s="9">
        <f>AVERAGE(J$7:J24)</f>
        <v>51.166666666666664</v>
      </c>
      <c r="Q24" s="9">
        <f>AVERAGE(K$7:K24)</f>
        <v>40.833333333333336</v>
      </c>
      <c r="S24" s="9">
        <f t="shared" si="1"/>
        <v>84</v>
      </c>
      <c r="T24" s="6">
        <f t="shared" si="2"/>
        <v>0.8624338624338624</v>
      </c>
      <c r="U24" s="6">
        <f t="shared" si="3"/>
        <v>0.7308201058201058</v>
      </c>
      <c r="V24" s="6">
        <f t="shared" si="4"/>
        <v>0.6091269841269841</v>
      </c>
      <c r="W24" s="6">
        <f t="shared" si="5"/>
        <v>0.48611111111111116</v>
      </c>
      <c r="Y24" s="24">
        <f t="shared" si="26"/>
        <v>85.1</v>
      </c>
      <c r="Z24" s="24">
        <f t="shared" si="27"/>
        <v>73.7</v>
      </c>
      <c r="AA24" s="24">
        <f t="shared" si="28"/>
        <v>62.7</v>
      </c>
      <c r="AB24" s="24">
        <f t="shared" si="29"/>
        <v>50.2</v>
      </c>
      <c r="AC24" s="24">
        <f t="shared" si="30"/>
        <v>36.6</v>
      </c>
      <c r="AE24" s="6">
        <f t="shared" si="11"/>
        <v>0.63</v>
      </c>
      <c r="AF24" s="6">
        <f t="shared" si="12"/>
        <v>0.9642857142857143</v>
      </c>
      <c r="AG24" s="6">
        <f t="shared" si="13"/>
        <v>0.5938888888888889</v>
      </c>
      <c r="AH24" s="6">
        <f>AVERAGE(AF$7:AF24)</f>
        <v>0.7023809523809522</v>
      </c>
      <c r="AI24" s="9">
        <f t="shared" si="14"/>
        <v>27</v>
      </c>
      <c r="AJ24">
        <v>1</v>
      </c>
      <c r="AL24">
        <f t="shared" si="15"/>
        <v>18</v>
      </c>
      <c r="AM24">
        <f t="shared" si="16"/>
        <v>63</v>
      </c>
      <c r="AN24" s="9">
        <f t="shared" si="17"/>
        <v>45.16129032258064</v>
      </c>
      <c r="AO24" s="24">
        <f t="shared" si="18"/>
        <v>59.388888888888886</v>
      </c>
      <c r="AP24" s="24">
        <f>AVERAGE(AN$7:AN24)</f>
        <v>62.007168458781365</v>
      </c>
      <c r="AQ24">
        <f t="shared" si="19"/>
        <v>14</v>
      </c>
      <c r="AR24">
        <v>17</v>
      </c>
      <c r="AS24" s="24">
        <f t="shared" si="20"/>
        <v>59.1</v>
      </c>
      <c r="AT24" s="24">
        <f t="shared" si="31"/>
        <v>61.496809460444226</v>
      </c>
      <c r="AV24">
        <v>55</v>
      </c>
      <c r="AW24">
        <f t="shared" si="32"/>
        <v>12</v>
      </c>
      <c r="AX24" s="9">
        <f t="shared" si="32"/>
        <v>41.935483870967744</v>
      </c>
    </row>
    <row r="25" spans="1:50" ht="12">
      <c r="A25">
        <v>19</v>
      </c>
      <c r="B25">
        <v>74</v>
      </c>
      <c r="C25" s="9">
        <f t="shared" si="24"/>
        <v>61.6</v>
      </c>
      <c r="D25" s="24">
        <f>AVERAGE(B$7:B25)</f>
        <v>60.1578947368421</v>
      </c>
      <c r="E25" s="24">
        <f t="shared" si="25"/>
        <v>59.1</v>
      </c>
      <c r="G25">
        <v>99</v>
      </c>
      <c r="H25">
        <v>95</v>
      </c>
      <c r="I25">
        <v>86</v>
      </c>
      <c r="J25">
        <v>65</v>
      </c>
      <c r="K25">
        <v>35</v>
      </c>
      <c r="M25" s="9">
        <f>AVERAGE(G$7:G25)</f>
        <v>84.78947368421052</v>
      </c>
      <c r="N25" s="9">
        <f>AVERAGE(H$7:H25)</f>
        <v>73.63157894736842</v>
      </c>
      <c r="O25" s="9">
        <f>AVERAGE(I$7:I25)</f>
        <v>62.68421052631579</v>
      </c>
      <c r="P25" s="9">
        <f>AVERAGE(J$7:J25)</f>
        <v>51.89473684210526</v>
      </c>
      <c r="Q25" s="9">
        <f>AVERAGE(K$7:K25)</f>
        <v>40.526315789473685</v>
      </c>
      <c r="S25" s="9">
        <f t="shared" si="1"/>
        <v>84.78947368421052</v>
      </c>
      <c r="T25" s="6">
        <f t="shared" si="2"/>
        <v>0.8684047175667289</v>
      </c>
      <c r="U25" s="6">
        <f t="shared" si="3"/>
        <v>0.7392923649906891</v>
      </c>
      <c r="V25" s="6">
        <f t="shared" si="4"/>
        <v>0.612042209807573</v>
      </c>
      <c r="W25" s="6">
        <f t="shared" si="5"/>
        <v>0.4779639975170702</v>
      </c>
      <c r="Y25" s="24">
        <f t="shared" si="26"/>
        <v>85.1</v>
      </c>
      <c r="Z25" s="24">
        <f t="shared" si="27"/>
        <v>73.7</v>
      </c>
      <c r="AA25" s="24">
        <f t="shared" si="28"/>
        <v>62.7</v>
      </c>
      <c r="AB25" s="24">
        <f t="shared" si="29"/>
        <v>50.2</v>
      </c>
      <c r="AC25" s="24">
        <f t="shared" si="30"/>
        <v>36.6</v>
      </c>
      <c r="AE25" s="6">
        <f t="shared" si="11"/>
        <v>0.74</v>
      </c>
      <c r="AF25" s="6">
        <f t="shared" si="12"/>
        <v>0.5714285714285714</v>
      </c>
      <c r="AG25" s="6">
        <f t="shared" si="13"/>
        <v>0.601578947368421</v>
      </c>
      <c r="AH25" s="6">
        <f>AVERAGE(AF$7:AF25)</f>
        <v>0.6954887218045112</v>
      </c>
      <c r="AI25" s="9">
        <f t="shared" si="14"/>
        <v>16</v>
      </c>
      <c r="AJ25">
        <v>12</v>
      </c>
      <c r="AL25">
        <f t="shared" si="15"/>
        <v>19</v>
      </c>
      <c r="AM25">
        <f t="shared" si="16"/>
        <v>74</v>
      </c>
      <c r="AN25" s="9">
        <f t="shared" si="17"/>
        <v>83.87096774193549</v>
      </c>
      <c r="AO25" s="24">
        <f t="shared" si="18"/>
        <v>60.1578947368421</v>
      </c>
      <c r="AP25" s="24">
        <f>AVERAGE(AN$7:AN25)</f>
        <v>63.1578947368421</v>
      </c>
      <c r="AQ25">
        <f t="shared" si="19"/>
        <v>26</v>
      </c>
      <c r="AR25">
        <v>5</v>
      </c>
      <c r="AS25" s="24">
        <f t="shared" si="20"/>
        <v>59.1</v>
      </c>
      <c r="AT25" s="24">
        <f t="shared" si="31"/>
        <v>61.496809460444226</v>
      </c>
      <c r="AV25">
        <v>58</v>
      </c>
      <c r="AW25">
        <f aca="true" t="shared" si="33" ref="AW25:AX27">AM64</f>
        <v>57</v>
      </c>
      <c r="AX25" s="9">
        <f t="shared" si="33"/>
        <v>67.74193548387096</v>
      </c>
    </row>
    <row r="26" spans="1:50" ht="12">
      <c r="A26">
        <v>20</v>
      </c>
      <c r="B26">
        <v>61</v>
      </c>
      <c r="C26" s="9">
        <f t="shared" si="24"/>
        <v>59.1</v>
      </c>
      <c r="D26" s="24">
        <f>AVERAGE(B$7:B26)</f>
        <v>60.2</v>
      </c>
      <c r="E26" s="24">
        <f t="shared" si="25"/>
        <v>59.1</v>
      </c>
      <c r="G26">
        <v>90</v>
      </c>
      <c r="H26">
        <v>80</v>
      </c>
      <c r="I26">
        <v>67</v>
      </c>
      <c r="J26">
        <v>49</v>
      </c>
      <c r="K26">
        <v>31</v>
      </c>
      <c r="M26" s="9">
        <f>AVERAGE(G$7:G26)</f>
        <v>85.05</v>
      </c>
      <c r="N26" s="9">
        <f>AVERAGE(H$7:H26)</f>
        <v>73.95</v>
      </c>
      <c r="O26" s="9">
        <f>AVERAGE(I$7:I26)</f>
        <v>62.9</v>
      </c>
      <c r="P26" s="9">
        <f>AVERAGE(J$7:J26)</f>
        <v>51.75</v>
      </c>
      <c r="Q26" s="9">
        <f>AVERAGE(K$7:K26)</f>
        <v>40.05</v>
      </c>
      <c r="S26" s="9">
        <f t="shared" si="1"/>
        <v>85.05</v>
      </c>
      <c r="T26" s="6">
        <f t="shared" si="2"/>
        <v>0.8694885361552028</v>
      </c>
      <c r="U26" s="6">
        <f t="shared" si="3"/>
        <v>0.739564961787184</v>
      </c>
      <c r="V26" s="6">
        <f t="shared" si="4"/>
        <v>0.6084656084656085</v>
      </c>
      <c r="W26" s="6">
        <f t="shared" si="5"/>
        <v>0.4708994708994709</v>
      </c>
      <c r="Y26" s="24">
        <f t="shared" si="26"/>
        <v>85.1</v>
      </c>
      <c r="Z26" s="24">
        <f t="shared" si="27"/>
        <v>73.7</v>
      </c>
      <c r="AA26" s="24">
        <f t="shared" si="28"/>
        <v>62.7</v>
      </c>
      <c r="AB26" s="24">
        <f t="shared" si="29"/>
        <v>50.2</v>
      </c>
      <c r="AC26" s="24">
        <f t="shared" si="30"/>
        <v>36.6</v>
      </c>
      <c r="AE26" s="6">
        <f t="shared" si="11"/>
        <v>0.61</v>
      </c>
      <c r="AF26" s="6">
        <f t="shared" si="12"/>
        <v>0.42857142857142855</v>
      </c>
      <c r="AG26" s="6">
        <f t="shared" si="13"/>
        <v>0.6020000000000001</v>
      </c>
      <c r="AH26" s="6">
        <f>AVERAGE(AF$7:AF26)</f>
        <v>0.682142857142857</v>
      </c>
      <c r="AI26" s="9">
        <f t="shared" si="14"/>
        <v>12</v>
      </c>
      <c r="AJ26">
        <v>16</v>
      </c>
      <c r="AL26">
        <f t="shared" si="15"/>
        <v>20</v>
      </c>
      <c r="AM26">
        <f t="shared" si="16"/>
        <v>61</v>
      </c>
      <c r="AN26" s="9">
        <f t="shared" si="17"/>
        <v>70.96774193548387</v>
      </c>
      <c r="AO26" s="24">
        <f t="shared" si="18"/>
        <v>60.2</v>
      </c>
      <c r="AP26" s="24">
        <f>AVERAGE(AN$7:AN26)</f>
        <v>63.54838709677419</v>
      </c>
      <c r="AQ26">
        <f t="shared" si="19"/>
        <v>22</v>
      </c>
      <c r="AR26">
        <v>9</v>
      </c>
      <c r="AS26" s="24">
        <f t="shared" si="20"/>
        <v>59.1</v>
      </c>
      <c r="AT26" s="24">
        <f t="shared" si="31"/>
        <v>61.496809460444226</v>
      </c>
      <c r="AV26">
        <v>59</v>
      </c>
      <c r="AW26">
        <f t="shared" si="33"/>
        <v>44</v>
      </c>
      <c r="AX26" s="9">
        <f t="shared" si="33"/>
        <v>77.41935483870968</v>
      </c>
    </row>
    <row r="27" spans="1:50" ht="12">
      <c r="A27">
        <v>21</v>
      </c>
      <c r="B27">
        <v>58</v>
      </c>
      <c r="C27" s="9">
        <f t="shared" si="24"/>
        <v>61</v>
      </c>
      <c r="D27" s="24">
        <f>AVERAGE(B$7:B27)</f>
        <v>60.095238095238095</v>
      </c>
      <c r="E27" s="24">
        <f aca="true" t="shared" si="34" ref="E27:E36">AVERAGE(B$27:B$36)</f>
        <v>57.111111111111114</v>
      </c>
      <c r="G27">
        <v>85</v>
      </c>
      <c r="H27">
        <v>77</v>
      </c>
      <c r="I27">
        <v>65</v>
      </c>
      <c r="J27">
        <v>47</v>
      </c>
      <c r="K27">
        <v>30</v>
      </c>
      <c r="M27" s="9">
        <f>AVERAGE(G$7:G27)</f>
        <v>85.04761904761905</v>
      </c>
      <c r="N27" s="9">
        <f>AVERAGE(H$7:H27)</f>
        <v>74.0952380952381</v>
      </c>
      <c r="O27" s="9">
        <f>AVERAGE(I$7:I27)</f>
        <v>63</v>
      </c>
      <c r="P27" s="9">
        <f>AVERAGE(J$7:J27)</f>
        <v>51.523809523809526</v>
      </c>
      <c r="Q27" s="9">
        <f>AVERAGE(K$7:K27)</f>
        <v>39.57142857142857</v>
      </c>
      <c r="S27" s="9">
        <f t="shared" si="1"/>
        <v>85.04761904761905</v>
      </c>
      <c r="T27" s="6">
        <f t="shared" si="2"/>
        <v>0.8712206047032475</v>
      </c>
      <c r="U27" s="6">
        <f t="shared" si="3"/>
        <v>0.7407614781634938</v>
      </c>
      <c r="V27" s="6">
        <f t="shared" si="4"/>
        <v>0.6058230683090705</v>
      </c>
      <c r="W27" s="6">
        <f t="shared" si="5"/>
        <v>0.46528555431131013</v>
      </c>
      <c r="Y27" s="24">
        <f aca="true" t="shared" si="35" ref="Y27:Y36">AVERAGE(G$27:G$36)</f>
        <v>82.44444444444444</v>
      </c>
      <c r="Z27" s="24">
        <f aca="true" t="shared" si="36" ref="Z27:Z36">AVERAGE(H$27:H$36)</f>
        <v>71.55555555555556</v>
      </c>
      <c r="AA27" s="24">
        <f aca="true" t="shared" si="37" ref="AA27:AA36">AVERAGE(I$27:I$36)</f>
        <v>60.44444444444444</v>
      </c>
      <c r="AB27" s="24">
        <f aca="true" t="shared" si="38" ref="AB27:AB36">AVERAGE(J$27:J$36)</f>
        <v>47.77777777777778</v>
      </c>
      <c r="AC27" s="24">
        <f aca="true" t="shared" si="39" ref="AC27:AC36">AVERAGE(K$27:K$36)</f>
        <v>34.888888888888886</v>
      </c>
      <c r="AE27" s="6">
        <f t="shared" si="11"/>
        <v>0.58</v>
      </c>
      <c r="AF27" s="6">
        <f t="shared" si="12"/>
        <v>0.75</v>
      </c>
      <c r="AG27" s="6">
        <f t="shared" si="13"/>
        <v>0.600952380952381</v>
      </c>
      <c r="AH27" s="6">
        <f>AVERAGE(AF$7:AF27)</f>
        <v>0.6853741496598639</v>
      </c>
      <c r="AI27" s="9">
        <f t="shared" si="14"/>
        <v>21</v>
      </c>
      <c r="AJ27">
        <v>7</v>
      </c>
      <c r="AL27">
        <f t="shared" si="15"/>
        <v>21</v>
      </c>
      <c r="AM27">
        <f t="shared" si="16"/>
        <v>58</v>
      </c>
      <c r="AN27" s="9">
        <f t="shared" si="17"/>
        <v>58.06451612903226</v>
      </c>
      <c r="AO27" s="24">
        <f t="shared" si="18"/>
        <v>60.095238095238095</v>
      </c>
      <c r="AP27" s="24">
        <f>AVERAGE(AN$7:AN27)</f>
        <v>63.287250384024574</v>
      </c>
      <c r="AQ27">
        <f t="shared" si="19"/>
        <v>18</v>
      </c>
      <c r="AR27">
        <v>13</v>
      </c>
      <c r="AS27" s="24">
        <f t="shared" si="20"/>
        <v>57.111111111111114</v>
      </c>
      <c r="AT27" s="24">
        <f aca="true" t="shared" si="40" ref="AT27:AT36">AVERAGE(AP$27:AP$36)</f>
        <v>65.7278179562892</v>
      </c>
      <c r="AV27">
        <v>60</v>
      </c>
      <c r="AW27">
        <f t="shared" si="33"/>
        <v>53</v>
      </c>
      <c r="AX27" s="9">
        <f t="shared" si="33"/>
        <v>77.41935483870968</v>
      </c>
    </row>
    <row r="28" spans="1:50" ht="12">
      <c r="A28">
        <v>22</v>
      </c>
      <c r="B28">
        <v>50</v>
      </c>
      <c r="C28" s="9">
        <f t="shared" si="24"/>
        <v>61.6</v>
      </c>
      <c r="D28" s="24">
        <f>AVERAGE(B$7:B28)</f>
        <v>59.63636363636363</v>
      </c>
      <c r="E28" s="24">
        <f t="shared" si="34"/>
        <v>57.111111111111114</v>
      </c>
      <c r="G28">
        <v>80</v>
      </c>
      <c r="H28">
        <v>65</v>
      </c>
      <c r="I28">
        <v>51</v>
      </c>
      <c r="J28">
        <v>39</v>
      </c>
      <c r="K28">
        <v>29</v>
      </c>
      <c r="M28" s="9">
        <f>AVERAGE(G$7:G28)</f>
        <v>84.81818181818181</v>
      </c>
      <c r="N28" s="9">
        <f>AVERAGE(H$7:H28)</f>
        <v>73.68181818181819</v>
      </c>
      <c r="O28" s="9">
        <f>AVERAGE(I$7:I28)</f>
        <v>62.45454545454545</v>
      </c>
      <c r="P28" s="9">
        <f>AVERAGE(J$7:J28)</f>
        <v>50.95454545454545</v>
      </c>
      <c r="Q28" s="9">
        <f>AVERAGE(K$7:K28)</f>
        <v>39.09090909090909</v>
      </c>
      <c r="S28" s="9">
        <f t="shared" si="1"/>
        <v>84.81818181818181</v>
      </c>
      <c r="T28" s="6">
        <f t="shared" si="2"/>
        <v>0.8687031082529476</v>
      </c>
      <c r="U28" s="6">
        <f t="shared" si="3"/>
        <v>0.7363344051446946</v>
      </c>
      <c r="V28" s="6">
        <f t="shared" si="4"/>
        <v>0.6007502679528404</v>
      </c>
      <c r="W28" s="6">
        <f t="shared" si="5"/>
        <v>0.46087888531618443</v>
      </c>
      <c r="Y28" s="24">
        <f t="shared" si="35"/>
        <v>82.44444444444444</v>
      </c>
      <c r="Z28" s="24">
        <f t="shared" si="36"/>
        <v>71.55555555555556</v>
      </c>
      <c r="AA28" s="24">
        <f t="shared" si="37"/>
        <v>60.44444444444444</v>
      </c>
      <c r="AB28" s="24">
        <f t="shared" si="38"/>
        <v>47.77777777777778</v>
      </c>
      <c r="AC28" s="24">
        <f t="shared" si="39"/>
        <v>34.888888888888886</v>
      </c>
      <c r="AE28" s="6">
        <f t="shared" si="11"/>
        <v>0.5</v>
      </c>
      <c r="AF28" s="6">
        <f t="shared" si="12"/>
        <v>0.6785714285714286</v>
      </c>
      <c r="AG28" s="6">
        <f t="shared" si="13"/>
        <v>0.5963636363636363</v>
      </c>
      <c r="AH28" s="6">
        <f>AVERAGE(AF$7:AF28)</f>
        <v>0.6850649350649349</v>
      </c>
      <c r="AI28" s="9">
        <f t="shared" si="14"/>
        <v>19</v>
      </c>
      <c r="AJ28">
        <v>9</v>
      </c>
      <c r="AL28">
        <f t="shared" si="15"/>
        <v>22</v>
      </c>
      <c r="AM28">
        <f t="shared" si="16"/>
        <v>50</v>
      </c>
      <c r="AN28" s="9">
        <f t="shared" si="17"/>
        <v>96.7741935483871</v>
      </c>
      <c r="AO28" s="24">
        <f t="shared" si="18"/>
        <v>59.63636363636363</v>
      </c>
      <c r="AP28" s="24">
        <f>AVERAGE(AN$7:AN28)</f>
        <v>64.80938416422288</v>
      </c>
      <c r="AQ28">
        <f t="shared" si="19"/>
        <v>30</v>
      </c>
      <c r="AR28">
        <v>1</v>
      </c>
      <c r="AS28" s="24">
        <f t="shared" si="20"/>
        <v>57.111111111111114</v>
      </c>
      <c r="AT28" s="24">
        <f t="shared" si="40"/>
        <v>65.7278179562892</v>
      </c>
      <c r="AV28">
        <v>62</v>
      </c>
      <c r="AW28">
        <f aca="true" t="shared" si="41" ref="AW28:AW36">AM68</f>
        <v>42</v>
      </c>
      <c r="AX28" s="9">
        <f aca="true" t="shared" si="42" ref="AX28:AX36">AN68</f>
        <v>70.96774193548387</v>
      </c>
    </row>
    <row r="29" spans="1:50" ht="12">
      <c r="A29">
        <v>23</v>
      </c>
      <c r="B29">
        <v>76</v>
      </c>
      <c r="C29" s="9">
        <f t="shared" si="24"/>
        <v>65.7</v>
      </c>
      <c r="D29" s="24">
        <f>AVERAGE(B$7:B29)</f>
        <v>60.34782608695652</v>
      </c>
      <c r="E29" s="24">
        <f t="shared" si="34"/>
        <v>57.111111111111114</v>
      </c>
      <c r="G29">
        <v>95</v>
      </c>
      <c r="H29">
        <v>91</v>
      </c>
      <c r="I29">
        <v>82</v>
      </c>
      <c r="J29">
        <v>69</v>
      </c>
      <c r="K29">
        <v>49</v>
      </c>
      <c r="M29" s="9">
        <f>AVERAGE(G$7:G29)</f>
        <v>85.26086956521739</v>
      </c>
      <c r="N29" s="9">
        <f>AVERAGE(H$7:H29)</f>
        <v>74.43478260869566</v>
      </c>
      <c r="O29" s="9">
        <f>AVERAGE(I$7:I29)</f>
        <v>63.30434782608695</v>
      </c>
      <c r="P29" s="9">
        <f>AVERAGE(J$7:J29)</f>
        <v>51.73913043478261</v>
      </c>
      <c r="Q29" s="9">
        <f>AVERAGE(K$7:K29)</f>
        <v>39.52173913043478</v>
      </c>
      <c r="S29" s="9">
        <f t="shared" si="1"/>
        <v>85.26086956521739</v>
      </c>
      <c r="T29" s="6">
        <f t="shared" si="2"/>
        <v>0.87302396736359</v>
      </c>
      <c r="U29" s="6">
        <f t="shared" si="3"/>
        <v>0.7424783273839878</v>
      </c>
      <c r="V29" s="6">
        <f t="shared" si="4"/>
        <v>0.6068332483426823</v>
      </c>
      <c r="W29" s="6">
        <f t="shared" si="5"/>
        <v>0.46353901070882203</v>
      </c>
      <c r="Y29" s="24">
        <f t="shared" si="35"/>
        <v>82.44444444444444</v>
      </c>
      <c r="Z29" s="24">
        <f t="shared" si="36"/>
        <v>71.55555555555556</v>
      </c>
      <c r="AA29" s="24">
        <f t="shared" si="37"/>
        <v>60.44444444444444</v>
      </c>
      <c r="AB29" s="24">
        <f t="shared" si="38"/>
        <v>47.77777777777778</v>
      </c>
      <c r="AC29" s="24">
        <f t="shared" si="39"/>
        <v>34.888888888888886</v>
      </c>
      <c r="AE29" s="6">
        <f t="shared" si="11"/>
        <v>0.76</v>
      </c>
      <c r="AF29" s="6">
        <f t="shared" si="12"/>
        <v>0.7857142857142857</v>
      </c>
      <c r="AG29" s="6">
        <f t="shared" si="13"/>
        <v>0.6034782608695652</v>
      </c>
      <c r="AH29" s="6">
        <f>AVERAGE(AF$7:AF29)</f>
        <v>0.6894409937888198</v>
      </c>
      <c r="AI29" s="9">
        <f t="shared" si="14"/>
        <v>22</v>
      </c>
      <c r="AJ29">
        <v>6</v>
      </c>
      <c r="AL29">
        <f t="shared" si="15"/>
        <v>23</v>
      </c>
      <c r="AM29">
        <f t="shared" si="16"/>
        <v>76</v>
      </c>
      <c r="AN29" s="9">
        <f t="shared" si="17"/>
        <v>35.483870967741936</v>
      </c>
      <c r="AO29" s="24">
        <f t="shared" si="18"/>
        <v>60.34782608695652</v>
      </c>
      <c r="AP29" s="24">
        <f>AVERAGE(AN$7:AN29)</f>
        <v>63.5343618513324</v>
      </c>
      <c r="AQ29">
        <f t="shared" si="19"/>
        <v>11</v>
      </c>
      <c r="AR29">
        <v>20</v>
      </c>
      <c r="AS29" s="24">
        <f t="shared" si="20"/>
        <v>57.111111111111114</v>
      </c>
      <c r="AT29" s="24">
        <f t="shared" si="40"/>
        <v>65.7278179562892</v>
      </c>
      <c r="AV29">
        <v>63</v>
      </c>
      <c r="AW29">
        <f t="shared" si="41"/>
        <v>24</v>
      </c>
      <c r="AX29" s="9">
        <f t="shared" si="42"/>
        <v>51.61290322580645</v>
      </c>
    </row>
    <row r="30" spans="1:50" ht="12">
      <c r="A30">
        <v>24</v>
      </c>
      <c r="B30">
        <v>70</v>
      </c>
      <c r="C30" s="9">
        <f t="shared" si="24"/>
        <v>65.4</v>
      </c>
      <c r="D30" s="24">
        <f>AVERAGE(B$7:B30)</f>
        <v>60.75</v>
      </c>
      <c r="E30" s="24">
        <f t="shared" si="34"/>
        <v>57.111111111111114</v>
      </c>
      <c r="G30">
        <v>91</v>
      </c>
      <c r="H30">
        <v>83</v>
      </c>
      <c r="I30">
        <v>77</v>
      </c>
      <c r="J30">
        <v>64</v>
      </c>
      <c r="K30">
        <v>44</v>
      </c>
      <c r="M30" s="9">
        <f>AVERAGE(G$7:G30)</f>
        <v>85.5</v>
      </c>
      <c r="N30" s="9">
        <f>AVERAGE(H$7:H30)</f>
        <v>74.79166666666667</v>
      </c>
      <c r="O30" s="9">
        <f>AVERAGE(I$7:I30)</f>
        <v>63.875</v>
      </c>
      <c r="P30" s="9">
        <f>AVERAGE(J$7:J30)</f>
        <v>52.25</v>
      </c>
      <c r="Q30" s="9">
        <f>AVERAGE(K$7:K30)</f>
        <v>39.708333333333336</v>
      </c>
      <c r="S30" s="9">
        <f t="shared" si="1"/>
        <v>85.5</v>
      </c>
      <c r="T30" s="6">
        <f t="shared" si="2"/>
        <v>0.8747563352826512</v>
      </c>
      <c r="U30" s="6">
        <f t="shared" si="3"/>
        <v>0.7470760233918129</v>
      </c>
      <c r="V30" s="6">
        <f t="shared" si="4"/>
        <v>0.6111111111111112</v>
      </c>
      <c r="W30" s="6">
        <f t="shared" si="5"/>
        <v>0.4644249512670566</v>
      </c>
      <c r="Y30" s="24">
        <f t="shared" si="35"/>
        <v>82.44444444444444</v>
      </c>
      <c r="Z30" s="24">
        <f t="shared" si="36"/>
        <v>71.55555555555556</v>
      </c>
      <c r="AA30" s="24">
        <f t="shared" si="37"/>
        <v>60.44444444444444</v>
      </c>
      <c r="AB30" s="24">
        <f t="shared" si="38"/>
        <v>47.77777777777778</v>
      </c>
      <c r="AC30" s="24">
        <f t="shared" si="39"/>
        <v>34.888888888888886</v>
      </c>
      <c r="AE30" s="6">
        <f t="shared" si="11"/>
        <v>0.7000000000000001</v>
      </c>
      <c r="AF30" s="6">
        <f t="shared" si="12"/>
        <v>0.07142857142857142</v>
      </c>
      <c r="AG30" s="6">
        <f t="shared" si="13"/>
        <v>0.6075</v>
      </c>
      <c r="AH30" s="6">
        <f>AVERAGE(AF$7:AF30)</f>
        <v>0.6636904761904762</v>
      </c>
      <c r="AI30" s="9">
        <f t="shared" si="14"/>
        <v>2</v>
      </c>
      <c r="AJ30">
        <v>26</v>
      </c>
      <c r="AL30">
        <f t="shared" si="15"/>
        <v>24</v>
      </c>
      <c r="AM30">
        <f t="shared" si="16"/>
        <v>70</v>
      </c>
      <c r="AN30" s="9">
        <f t="shared" si="17"/>
        <v>87.09677419354838</v>
      </c>
      <c r="AO30" s="24">
        <f t="shared" si="18"/>
        <v>60.75</v>
      </c>
      <c r="AP30" s="24">
        <f>AVERAGE(AN$7:AN30)</f>
        <v>64.51612903225806</v>
      </c>
      <c r="AQ30">
        <f t="shared" si="19"/>
        <v>27</v>
      </c>
      <c r="AR30">
        <v>4</v>
      </c>
      <c r="AS30" s="24">
        <f t="shared" si="20"/>
        <v>57.111111111111114</v>
      </c>
      <c r="AT30" s="24">
        <f t="shared" si="40"/>
        <v>65.7278179562892</v>
      </c>
      <c r="AV30">
        <v>64</v>
      </c>
      <c r="AW30">
        <f t="shared" si="41"/>
        <v>9</v>
      </c>
      <c r="AX30" s="9">
        <f t="shared" si="42"/>
        <v>16.129032258064516</v>
      </c>
    </row>
    <row r="31" spans="1:50" ht="12">
      <c r="A31">
        <v>25</v>
      </c>
      <c r="B31">
        <v>73</v>
      </c>
      <c r="C31" s="9">
        <f t="shared" si="24"/>
        <v>65.7</v>
      </c>
      <c r="D31" s="24">
        <f>AVERAGE(B$7:B31)</f>
        <v>61.24</v>
      </c>
      <c r="E31" s="24">
        <f t="shared" si="34"/>
        <v>57.111111111111114</v>
      </c>
      <c r="G31">
        <v>90</v>
      </c>
      <c r="H31">
        <v>83</v>
      </c>
      <c r="I31">
        <v>76</v>
      </c>
      <c r="J31">
        <v>68</v>
      </c>
      <c r="K31">
        <v>55</v>
      </c>
      <c r="M31" s="9">
        <f>AVERAGE(G$7:G31)</f>
        <v>85.68</v>
      </c>
      <c r="N31" s="9">
        <f>AVERAGE(H$7:H31)</f>
        <v>75.12</v>
      </c>
      <c r="O31" s="9">
        <f>AVERAGE(I$7:I31)</f>
        <v>64.36</v>
      </c>
      <c r="P31" s="9">
        <f>AVERAGE(J$7:J31)</f>
        <v>52.88</v>
      </c>
      <c r="Q31" s="9">
        <f>AVERAGE(K$7:K31)</f>
        <v>40.32</v>
      </c>
      <c r="S31" s="9">
        <f t="shared" si="1"/>
        <v>85.68</v>
      </c>
      <c r="T31" s="6">
        <f t="shared" si="2"/>
        <v>0.876750700280112</v>
      </c>
      <c r="U31" s="6">
        <f t="shared" si="3"/>
        <v>0.7511671335200746</v>
      </c>
      <c r="V31" s="6">
        <f t="shared" si="4"/>
        <v>0.6171802054154996</v>
      </c>
      <c r="W31" s="6">
        <f t="shared" si="5"/>
        <v>0.47058823529411764</v>
      </c>
      <c r="Y31" s="24">
        <f t="shared" si="35"/>
        <v>82.44444444444444</v>
      </c>
      <c r="Z31" s="24">
        <f t="shared" si="36"/>
        <v>71.55555555555556</v>
      </c>
      <c r="AA31" s="24">
        <f t="shared" si="37"/>
        <v>60.44444444444444</v>
      </c>
      <c r="AB31" s="24">
        <f t="shared" si="38"/>
        <v>47.77777777777778</v>
      </c>
      <c r="AC31" s="24">
        <f t="shared" si="39"/>
        <v>34.888888888888886</v>
      </c>
      <c r="AE31" s="6">
        <f t="shared" si="11"/>
        <v>0.73</v>
      </c>
      <c r="AF31" s="6">
        <f t="shared" si="12"/>
        <v>0.03571428571428571</v>
      </c>
      <c r="AG31" s="6">
        <f t="shared" si="13"/>
        <v>0.6124</v>
      </c>
      <c r="AH31" s="6">
        <f>AVERAGE(AF$7:AF31)</f>
        <v>0.6385714285714286</v>
      </c>
      <c r="AI31" s="9">
        <f t="shared" si="14"/>
        <v>1</v>
      </c>
      <c r="AJ31">
        <v>27</v>
      </c>
      <c r="AL31">
        <f t="shared" si="15"/>
        <v>25</v>
      </c>
      <c r="AM31">
        <f t="shared" si="16"/>
        <v>73</v>
      </c>
      <c r="AN31" s="9">
        <f t="shared" si="17"/>
        <v>90.32258064516128</v>
      </c>
      <c r="AO31" s="24">
        <f t="shared" si="18"/>
        <v>61.24</v>
      </c>
      <c r="AP31" s="24">
        <f>AVERAGE(AN$7:AN31)</f>
        <v>65.54838709677419</v>
      </c>
      <c r="AQ31">
        <f t="shared" si="19"/>
        <v>28</v>
      </c>
      <c r="AR31">
        <v>3</v>
      </c>
      <c r="AS31" s="24">
        <f t="shared" si="20"/>
        <v>57.111111111111114</v>
      </c>
      <c r="AT31" s="24">
        <f t="shared" si="40"/>
        <v>65.7278179562892</v>
      </c>
      <c r="AV31">
        <v>65</v>
      </c>
      <c r="AW31">
        <f t="shared" si="41"/>
        <v>16</v>
      </c>
      <c r="AX31" s="9">
        <f t="shared" si="42"/>
        <v>90.32258064516128</v>
      </c>
    </row>
    <row r="32" spans="1:50" ht="12">
      <c r="A32">
        <v>26</v>
      </c>
      <c r="B32">
        <v>64</v>
      </c>
      <c r="C32" s="9">
        <f t="shared" si="24"/>
        <v>67.4</v>
      </c>
      <c r="D32" s="24">
        <f>AVERAGE(B$7:B32)</f>
        <v>61.34615384615385</v>
      </c>
      <c r="E32" s="24">
        <f t="shared" si="34"/>
        <v>57.111111111111114</v>
      </c>
      <c r="G32">
        <v>86</v>
      </c>
      <c r="H32">
        <v>80</v>
      </c>
      <c r="I32">
        <v>69</v>
      </c>
      <c r="J32">
        <v>55</v>
      </c>
      <c r="K32">
        <v>39</v>
      </c>
      <c r="M32" s="9">
        <f>AVERAGE(G$7:G32)</f>
        <v>85.6923076923077</v>
      </c>
      <c r="N32" s="9">
        <f>AVERAGE(H$7:H32)</f>
        <v>75.3076923076923</v>
      </c>
      <c r="O32" s="9">
        <f>AVERAGE(I$7:I32)</f>
        <v>64.53846153846153</v>
      </c>
      <c r="P32" s="9">
        <f>AVERAGE(J$7:J32)</f>
        <v>52.96153846153846</v>
      </c>
      <c r="Q32" s="9">
        <f>AVERAGE(K$7:K32)</f>
        <v>40.26923076923077</v>
      </c>
      <c r="S32" s="9">
        <f t="shared" si="1"/>
        <v>85.6923076923077</v>
      </c>
      <c r="T32" s="6">
        <f t="shared" si="2"/>
        <v>0.8788150807899461</v>
      </c>
      <c r="U32" s="6">
        <f t="shared" si="3"/>
        <v>0.7531418312387791</v>
      </c>
      <c r="V32" s="6">
        <f t="shared" si="4"/>
        <v>0.6180430879712746</v>
      </c>
      <c r="W32" s="6">
        <f t="shared" si="5"/>
        <v>0.4699281867145422</v>
      </c>
      <c r="Y32" s="24">
        <f t="shared" si="35"/>
        <v>82.44444444444444</v>
      </c>
      <c r="Z32" s="24">
        <f t="shared" si="36"/>
        <v>71.55555555555556</v>
      </c>
      <c r="AA32" s="24">
        <f t="shared" si="37"/>
        <v>60.44444444444444</v>
      </c>
      <c r="AB32" s="24">
        <f t="shared" si="38"/>
        <v>47.77777777777778</v>
      </c>
      <c r="AC32" s="24">
        <f t="shared" si="39"/>
        <v>34.888888888888886</v>
      </c>
      <c r="AE32" s="6">
        <f t="shared" si="11"/>
        <v>0.64</v>
      </c>
      <c r="AF32" s="6">
        <f t="shared" si="12"/>
        <v>0.5357142857142857</v>
      </c>
      <c r="AG32" s="6">
        <f t="shared" si="13"/>
        <v>0.6134615384615385</v>
      </c>
      <c r="AH32" s="6">
        <f>AVERAGE(AF$7:AF32)</f>
        <v>0.6346153846153846</v>
      </c>
      <c r="AI32" s="9">
        <f t="shared" si="14"/>
        <v>15</v>
      </c>
      <c r="AJ32">
        <v>13</v>
      </c>
      <c r="AL32">
        <f t="shared" si="15"/>
        <v>26</v>
      </c>
      <c r="AM32">
        <f t="shared" si="16"/>
        <v>64</v>
      </c>
      <c r="AN32" s="9">
        <f t="shared" si="17"/>
        <v>87.09677419354838</v>
      </c>
      <c r="AO32" s="24">
        <f t="shared" si="18"/>
        <v>61.34615384615385</v>
      </c>
      <c r="AP32" s="24">
        <f>AVERAGE(AN$7:AN32)</f>
        <v>66.37717121588088</v>
      </c>
      <c r="AQ32">
        <f t="shared" si="19"/>
        <v>27</v>
      </c>
      <c r="AR32">
        <v>4</v>
      </c>
      <c r="AS32" s="24">
        <f t="shared" si="20"/>
        <v>57.111111111111114</v>
      </c>
      <c r="AT32" s="24">
        <f t="shared" si="40"/>
        <v>65.7278179562892</v>
      </c>
      <c r="AV32">
        <v>66</v>
      </c>
      <c r="AW32">
        <f t="shared" si="41"/>
        <v>12</v>
      </c>
      <c r="AX32" s="9">
        <f t="shared" si="42"/>
        <v>41.935483870967744</v>
      </c>
    </row>
    <row r="33" spans="1:50" ht="12">
      <c r="A33">
        <v>27</v>
      </c>
      <c r="B33">
        <v>62</v>
      </c>
      <c r="C33" s="9">
        <f t="shared" si="24"/>
        <v>65.1</v>
      </c>
      <c r="D33" s="24">
        <f>AVERAGE(B$7:B33)</f>
        <v>61.370370370370374</v>
      </c>
      <c r="E33" s="24">
        <f t="shared" si="34"/>
        <v>57.111111111111114</v>
      </c>
      <c r="G33">
        <v>92</v>
      </c>
      <c r="H33">
        <v>79</v>
      </c>
      <c r="I33">
        <v>64</v>
      </c>
      <c r="J33">
        <v>50</v>
      </c>
      <c r="K33">
        <v>39</v>
      </c>
      <c r="M33" s="9">
        <f>AVERAGE(G$7:G33)</f>
        <v>85.92592592592592</v>
      </c>
      <c r="N33" s="9">
        <f>AVERAGE(H$7:H33)</f>
        <v>75.44444444444444</v>
      </c>
      <c r="O33" s="9">
        <f>AVERAGE(I$7:I33)</f>
        <v>64.51851851851852</v>
      </c>
      <c r="P33" s="9">
        <f>AVERAGE(J$7:J33)</f>
        <v>52.851851851851855</v>
      </c>
      <c r="Q33" s="9">
        <f>AVERAGE(K$7:K33)</f>
        <v>40.22222222222222</v>
      </c>
      <c r="S33" s="9">
        <f t="shared" si="1"/>
        <v>85.92592592592592</v>
      </c>
      <c r="T33" s="6">
        <f t="shared" si="2"/>
        <v>0.8780172413793104</v>
      </c>
      <c r="U33" s="6">
        <f t="shared" si="3"/>
        <v>0.7508620689655172</v>
      </c>
      <c r="V33" s="6">
        <f t="shared" si="4"/>
        <v>0.6150862068965518</v>
      </c>
      <c r="W33" s="6">
        <f t="shared" si="5"/>
        <v>0.4681034482758621</v>
      </c>
      <c r="Y33" s="24">
        <f t="shared" si="35"/>
        <v>82.44444444444444</v>
      </c>
      <c r="Z33" s="24">
        <f t="shared" si="36"/>
        <v>71.55555555555556</v>
      </c>
      <c r="AA33" s="24">
        <f t="shared" si="37"/>
        <v>60.44444444444444</v>
      </c>
      <c r="AB33" s="24">
        <f t="shared" si="38"/>
        <v>47.77777777777778</v>
      </c>
      <c r="AC33" s="24">
        <f t="shared" si="39"/>
        <v>34.888888888888886</v>
      </c>
      <c r="AE33" s="6">
        <f t="shared" si="11"/>
        <v>0.62</v>
      </c>
      <c r="AF33" s="6">
        <f t="shared" si="12"/>
        <v>0.5</v>
      </c>
      <c r="AG33" s="6">
        <f t="shared" si="13"/>
        <v>0.6137037037037038</v>
      </c>
      <c r="AH33" s="6">
        <f>AVERAGE(AF$7:AF33)</f>
        <v>0.6296296296296297</v>
      </c>
      <c r="AI33" s="9">
        <f t="shared" si="14"/>
        <v>14</v>
      </c>
      <c r="AJ33">
        <v>14</v>
      </c>
      <c r="AL33">
        <f t="shared" si="15"/>
        <v>27</v>
      </c>
      <c r="AM33">
        <f t="shared" si="16"/>
        <v>62</v>
      </c>
      <c r="AN33" s="9">
        <f t="shared" si="17"/>
        <v>77.41935483870968</v>
      </c>
      <c r="AO33" s="24">
        <f t="shared" si="18"/>
        <v>61.370370370370374</v>
      </c>
      <c r="AP33" s="24">
        <f>AVERAGE(AN$7:AN33)</f>
        <v>66.78614097968936</v>
      </c>
      <c r="AQ33">
        <f t="shared" si="19"/>
        <v>24</v>
      </c>
      <c r="AR33">
        <v>7</v>
      </c>
      <c r="AS33" s="24">
        <f t="shared" si="20"/>
        <v>57.111111111111114</v>
      </c>
      <c r="AT33" s="24">
        <f t="shared" si="40"/>
        <v>65.7278179562892</v>
      </c>
      <c r="AV33">
        <v>67</v>
      </c>
      <c r="AW33">
        <f t="shared" si="41"/>
        <v>48</v>
      </c>
      <c r="AX33" s="9">
        <f t="shared" si="42"/>
        <v>70.96774193548387</v>
      </c>
    </row>
    <row r="34" spans="1:50" ht="12">
      <c r="A34">
        <v>28</v>
      </c>
      <c r="B34">
        <v>32</v>
      </c>
      <c r="C34" s="9">
        <f t="shared" si="24"/>
        <v>62</v>
      </c>
      <c r="D34" s="24">
        <f>AVERAGE(B$7:B34)</f>
        <v>60.32142857142857</v>
      </c>
      <c r="E34" s="24">
        <f t="shared" si="34"/>
        <v>57.111111111111114</v>
      </c>
      <c r="G34">
        <v>61</v>
      </c>
      <c r="H34">
        <v>44</v>
      </c>
      <c r="I34">
        <v>32</v>
      </c>
      <c r="J34">
        <v>21</v>
      </c>
      <c r="K34">
        <v>18</v>
      </c>
      <c r="M34" s="9">
        <f>AVERAGE(G$7:G34)</f>
        <v>85.03571428571429</v>
      </c>
      <c r="N34" s="9">
        <f>AVERAGE(H$7:H34)</f>
        <v>74.32142857142857</v>
      </c>
      <c r="O34" s="9">
        <f>AVERAGE(I$7:I34)</f>
        <v>63.357142857142854</v>
      </c>
      <c r="P34" s="9">
        <f>AVERAGE(J$7:J34)</f>
        <v>51.714285714285715</v>
      </c>
      <c r="Q34" s="9">
        <f>AVERAGE(K$7:K34)</f>
        <v>39.42857142857143</v>
      </c>
      <c r="S34" s="9">
        <f t="shared" si="1"/>
        <v>85.03571428571429</v>
      </c>
      <c r="T34" s="6">
        <f t="shared" si="2"/>
        <v>0.8740025199496009</v>
      </c>
      <c r="U34" s="6">
        <f t="shared" si="3"/>
        <v>0.745065098698026</v>
      </c>
      <c r="V34" s="6">
        <f t="shared" si="4"/>
        <v>0.6081478370432591</v>
      </c>
      <c r="W34" s="6">
        <f t="shared" si="5"/>
        <v>0.46367072658546826</v>
      </c>
      <c r="Y34" s="24">
        <f t="shared" si="35"/>
        <v>82.44444444444444</v>
      </c>
      <c r="Z34" s="24">
        <f t="shared" si="36"/>
        <v>71.55555555555556</v>
      </c>
      <c r="AA34" s="24">
        <f t="shared" si="37"/>
        <v>60.44444444444444</v>
      </c>
      <c r="AB34" s="24">
        <f t="shared" si="38"/>
        <v>47.77777777777778</v>
      </c>
      <c r="AC34" s="24">
        <f t="shared" si="39"/>
        <v>34.888888888888886</v>
      </c>
      <c r="AE34" s="6">
        <f t="shared" si="11"/>
        <v>0.32</v>
      </c>
      <c r="AF34" s="6">
        <f t="shared" si="12"/>
        <v>0.8928571428571429</v>
      </c>
      <c r="AG34" s="6">
        <f t="shared" si="13"/>
        <v>0.6032142857142857</v>
      </c>
      <c r="AH34" s="6">
        <f>AVERAGE(AF$7:AF34)</f>
        <v>0.639030612244898</v>
      </c>
      <c r="AI34" s="9">
        <f t="shared" si="14"/>
        <v>25</v>
      </c>
      <c r="AJ34">
        <v>3</v>
      </c>
      <c r="AL34">
        <f t="shared" si="15"/>
        <v>28</v>
      </c>
      <c r="AM34">
        <f t="shared" si="16"/>
        <v>32</v>
      </c>
      <c r="AN34" s="9">
        <f t="shared" si="17"/>
        <v>70.96774193548387</v>
      </c>
      <c r="AO34" s="24">
        <f t="shared" si="18"/>
        <v>60.32142857142857</v>
      </c>
      <c r="AP34" s="24">
        <f>AVERAGE(AN$7:AN34)</f>
        <v>66.93548387096773</v>
      </c>
      <c r="AQ34">
        <f t="shared" si="19"/>
        <v>22</v>
      </c>
      <c r="AR34">
        <v>9</v>
      </c>
      <c r="AS34" s="24">
        <f t="shared" si="20"/>
        <v>57.111111111111114</v>
      </c>
      <c r="AT34" s="24">
        <f t="shared" si="40"/>
        <v>65.7278179562892</v>
      </c>
      <c r="AV34">
        <v>68</v>
      </c>
      <c r="AW34">
        <f t="shared" si="41"/>
        <v>25</v>
      </c>
      <c r="AX34" s="9">
        <f t="shared" si="42"/>
        <v>45.16129032258064</v>
      </c>
    </row>
    <row r="35" spans="1:50" ht="12">
      <c r="A35">
        <v>29</v>
      </c>
      <c r="C35" s="9">
        <f t="shared" si="24"/>
        <v>60.666666666666664</v>
      </c>
      <c r="D35" s="24">
        <f>AVERAGE(B$7:B35)</f>
        <v>60.32142857142857</v>
      </c>
      <c r="E35" s="24">
        <f t="shared" si="34"/>
        <v>57.111111111111114</v>
      </c>
      <c r="M35" s="9">
        <f>AVERAGE(G$7:G35)</f>
        <v>85.03571428571429</v>
      </c>
      <c r="N35" s="9">
        <f>AVERAGE(H$7:H35)</f>
        <v>74.32142857142857</v>
      </c>
      <c r="O35" s="9">
        <f>AVERAGE(I$7:I35)</f>
        <v>63.357142857142854</v>
      </c>
      <c r="P35" s="9">
        <f>AVERAGE(J$7:J35)</f>
        <v>51.714285714285715</v>
      </c>
      <c r="Q35" s="9">
        <f>AVERAGE(K$7:K35)</f>
        <v>39.42857142857143</v>
      </c>
      <c r="S35" s="9">
        <f t="shared" si="1"/>
        <v>85.03571428571429</v>
      </c>
      <c r="T35" s="6">
        <f t="shared" si="2"/>
        <v>0.8740025199496009</v>
      </c>
      <c r="U35" s="6">
        <f t="shared" si="3"/>
        <v>0.745065098698026</v>
      </c>
      <c r="V35" s="6">
        <f t="shared" si="4"/>
        <v>0.6081478370432591</v>
      </c>
      <c r="W35" s="6">
        <f t="shared" si="5"/>
        <v>0.46367072658546826</v>
      </c>
      <c r="Y35" s="24">
        <f t="shared" si="35"/>
        <v>82.44444444444444</v>
      </c>
      <c r="Z35" s="24">
        <f t="shared" si="36"/>
        <v>71.55555555555556</v>
      </c>
      <c r="AA35" s="24">
        <f t="shared" si="37"/>
        <v>60.44444444444444</v>
      </c>
      <c r="AB35" s="24">
        <f t="shared" si="38"/>
        <v>47.77777777777778</v>
      </c>
      <c r="AC35" s="24">
        <f t="shared" si="39"/>
        <v>34.888888888888886</v>
      </c>
      <c r="AE35" s="6">
        <f t="shared" si="11"/>
        <v>0</v>
      </c>
      <c r="AF35" s="6">
        <f t="shared" si="12"/>
        <v>0.2857142857142857</v>
      </c>
      <c r="AG35" s="6">
        <f t="shared" si="13"/>
        <v>0.6032142857142857</v>
      </c>
      <c r="AH35" s="6">
        <f>AVERAGE(AF$7:AF35)</f>
        <v>0.626847290640394</v>
      </c>
      <c r="AI35" s="9">
        <f t="shared" si="14"/>
        <v>8</v>
      </c>
      <c r="AJ35">
        <v>20</v>
      </c>
      <c r="AL35">
        <f t="shared" si="15"/>
        <v>29</v>
      </c>
      <c r="AM35">
        <f t="shared" si="16"/>
        <v>0</v>
      </c>
      <c r="AN35" s="9">
        <f t="shared" si="17"/>
        <v>90.32258064516128</v>
      </c>
      <c r="AO35" s="24">
        <f t="shared" si="18"/>
        <v>60.32142857142857</v>
      </c>
      <c r="AP35" s="24">
        <f>AVERAGE(AN$7:AN35)</f>
        <v>67.74193548387096</v>
      </c>
      <c r="AQ35">
        <f t="shared" si="19"/>
        <v>28</v>
      </c>
      <c r="AR35">
        <v>3</v>
      </c>
      <c r="AS35" s="24">
        <f t="shared" si="20"/>
        <v>57.111111111111114</v>
      </c>
      <c r="AT35" s="24">
        <f t="shared" si="40"/>
        <v>65.7278179562892</v>
      </c>
      <c r="AV35">
        <v>69</v>
      </c>
      <c r="AW35">
        <f t="shared" si="41"/>
        <v>70</v>
      </c>
      <c r="AX35" s="9">
        <f t="shared" si="42"/>
        <v>90.32258064516128</v>
      </c>
    </row>
    <row r="36" spans="1:50" ht="12">
      <c r="A36">
        <v>30</v>
      </c>
      <c r="B36">
        <v>29</v>
      </c>
      <c r="C36" s="9">
        <f t="shared" si="24"/>
        <v>57.111111111111114</v>
      </c>
      <c r="D36" s="24">
        <f>AVERAGE(B$7:B36)</f>
        <v>59.241379310344826</v>
      </c>
      <c r="E36" s="24">
        <f t="shared" si="34"/>
        <v>57.111111111111114</v>
      </c>
      <c r="G36">
        <v>62</v>
      </c>
      <c r="H36">
        <v>42</v>
      </c>
      <c r="I36">
        <v>28</v>
      </c>
      <c r="J36">
        <v>17</v>
      </c>
      <c r="K36">
        <v>11</v>
      </c>
      <c r="M36" s="9">
        <f>AVERAGE(G$7:G36)</f>
        <v>84.24137931034483</v>
      </c>
      <c r="N36" s="9">
        <f>AVERAGE(H$7:H36)</f>
        <v>73.20689655172414</v>
      </c>
      <c r="O36" s="9">
        <f>AVERAGE(I$7:I36)</f>
        <v>62.13793103448276</v>
      </c>
      <c r="P36" s="9">
        <f>AVERAGE(J$7:J36)</f>
        <v>50.51724137931034</v>
      </c>
      <c r="Q36" s="9">
        <f>AVERAGE(K$7:K36)</f>
        <v>38.44827586206897</v>
      </c>
      <c r="S36" s="9">
        <f t="shared" si="1"/>
        <v>84.24137931034483</v>
      </c>
      <c r="T36" s="6">
        <f t="shared" si="2"/>
        <v>0.8690135079819894</v>
      </c>
      <c r="U36" s="6">
        <f t="shared" si="3"/>
        <v>0.7376176831764225</v>
      </c>
      <c r="V36" s="6">
        <f t="shared" si="4"/>
        <v>0.599672533769955</v>
      </c>
      <c r="W36" s="6">
        <f t="shared" si="5"/>
        <v>0.45640605812525586</v>
      </c>
      <c r="Y36" s="24">
        <f t="shared" si="35"/>
        <v>82.44444444444444</v>
      </c>
      <c r="Z36" s="24">
        <f t="shared" si="36"/>
        <v>71.55555555555556</v>
      </c>
      <c r="AA36" s="24">
        <f t="shared" si="37"/>
        <v>60.44444444444444</v>
      </c>
      <c r="AB36" s="24">
        <f t="shared" si="38"/>
        <v>47.77777777777778</v>
      </c>
      <c r="AC36" s="24">
        <f t="shared" si="39"/>
        <v>34.888888888888886</v>
      </c>
      <c r="AE36" s="6">
        <f t="shared" si="11"/>
        <v>0.29</v>
      </c>
      <c r="AF36" s="6">
        <f t="shared" si="12"/>
        <v>0.4642857142857143</v>
      </c>
      <c r="AG36" s="6">
        <f t="shared" si="13"/>
        <v>0.5924137931034482</v>
      </c>
      <c r="AH36" s="6">
        <f>AVERAGE(AF$7:AF36)</f>
        <v>0.6214285714285714</v>
      </c>
      <c r="AI36" s="9">
        <f t="shared" si="14"/>
        <v>13</v>
      </c>
      <c r="AJ36">
        <v>15</v>
      </c>
      <c r="AL36">
        <f t="shared" si="15"/>
        <v>30</v>
      </c>
      <c r="AM36">
        <f t="shared" si="16"/>
        <v>29</v>
      </c>
      <c r="AN36" s="9">
        <f t="shared" si="17"/>
        <v>67.74193548387096</v>
      </c>
      <c r="AO36" s="24">
        <f t="shared" si="18"/>
        <v>59.241379310344826</v>
      </c>
      <c r="AP36" s="24">
        <f>AVERAGE(AN$7:AN36)</f>
        <v>67.74193548387096</v>
      </c>
      <c r="AQ36">
        <f t="shared" si="19"/>
        <v>21</v>
      </c>
      <c r="AR36">
        <v>10</v>
      </c>
      <c r="AS36" s="24">
        <f t="shared" si="20"/>
        <v>57.111111111111114</v>
      </c>
      <c r="AT36" s="24">
        <f t="shared" si="40"/>
        <v>65.7278179562892</v>
      </c>
      <c r="AV36">
        <v>70</v>
      </c>
      <c r="AW36">
        <f t="shared" si="41"/>
        <v>40</v>
      </c>
      <c r="AX36" s="9">
        <f t="shared" si="42"/>
        <v>58.06451612903226</v>
      </c>
    </row>
    <row r="37" spans="1:46" ht="12">
      <c r="A37">
        <v>31</v>
      </c>
      <c r="B37">
        <v>61</v>
      </c>
      <c r="C37" s="9">
        <f t="shared" si="24"/>
        <v>57.44444444444444</v>
      </c>
      <c r="D37" s="24">
        <f>AVERAGE(B$7:B37)</f>
        <v>59.3</v>
      </c>
      <c r="E37" s="24">
        <f aca="true" t="shared" si="43" ref="E37:E46">AVERAGE(B$37:B$46)</f>
        <v>56.5</v>
      </c>
      <c r="G37">
        <v>89</v>
      </c>
      <c r="H37">
        <v>81</v>
      </c>
      <c r="I37">
        <v>67</v>
      </c>
      <c r="J37">
        <v>50</v>
      </c>
      <c r="K37">
        <v>32</v>
      </c>
      <c r="M37" s="9">
        <f>AVERAGE(G$7:G37)</f>
        <v>84.4</v>
      </c>
      <c r="N37" s="9">
        <f>AVERAGE(H$7:H37)</f>
        <v>73.46666666666667</v>
      </c>
      <c r="O37" s="9">
        <f>AVERAGE(I$7:I37)</f>
        <v>62.3</v>
      </c>
      <c r="P37" s="9">
        <f>AVERAGE(J$7:J37)</f>
        <v>50.5</v>
      </c>
      <c r="Q37" s="9">
        <f>AVERAGE(K$7:K37)</f>
        <v>38.233333333333334</v>
      </c>
      <c r="S37" s="9">
        <f t="shared" si="1"/>
        <v>84.4</v>
      </c>
      <c r="T37" s="6">
        <f t="shared" si="2"/>
        <v>0.8704581358609794</v>
      </c>
      <c r="U37" s="6">
        <f t="shared" si="3"/>
        <v>0.7381516587677724</v>
      </c>
      <c r="V37" s="6">
        <f t="shared" si="4"/>
        <v>0.5983412322274881</v>
      </c>
      <c r="W37" s="6">
        <f t="shared" si="5"/>
        <v>0.45300157977883093</v>
      </c>
      <c r="Y37" s="24">
        <f aca="true" t="shared" si="44" ref="Y37:Y46">AVERAGE(G$37:G$46)</f>
        <v>81.7</v>
      </c>
      <c r="Z37" s="24">
        <f aca="true" t="shared" si="45" ref="Z37:Z46">AVERAGE(H$37:H$46)</f>
        <v>71.1</v>
      </c>
      <c r="AA37" s="24">
        <f aca="true" t="shared" si="46" ref="AA37:AA46">AVERAGE(I$37:I$46)</f>
        <v>60</v>
      </c>
      <c r="AB37" s="24">
        <f aca="true" t="shared" si="47" ref="AB37:AB46">AVERAGE(J$37:J$46)</f>
        <v>47.8</v>
      </c>
      <c r="AC37" s="24">
        <f aca="true" t="shared" si="48" ref="AC37:AC46">AVERAGE(K$37:K$46)</f>
        <v>34.4</v>
      </c>
      <c r="AE37" s="6">
        <f t="shared" si="11"/>
        <v>0.61</v>
      </c>
      <c r="AF37" s="6">
        <f t="shared" si="12"/>
        <v>0.5357142857142857</v>
      </c>
      <c r="AG37" s="6">
        <f t="shared" si="13"/>
        <v>0.593</v>
      </c>
      <c r="AH37" s="6">
        <f>AVERAGE(AF$7:AF37)</f>
        <v>0.618663594470046</v>
      </c>
      <c r="AI37" s="9">
        <f t="shared" si="14"/>
        <v>15</v>
      </c>
      <c r="AJ37">
        <v>13</v>
      </c>
      <c r="AL37">
        <f t="shared" si="15"/>
        <v>31</v>
      </c>
      <c r="AM37">
        <f t="shared" si="16"/>
        <v>61</v>
      </c>
      <c r="AN37" s="9">
        <f t="shared" si="17"/>
        <v>87.09677419354838</v>
      </c>
      <c r="AO37" s="24">
        <f t="shared" si="18"/>
        <v>59.3</v>
      </c>
      <c r="AP37" s="24">
        <f>AVERAGE(AN$7:AN37)</f>
        <v>68.366285119667</v>
      </c>
      <c r="AQ37">
        <f t="shared" si="19"/>
        <v>27</v>
      </c>
      <c r="AR37">
        <v>4</v>
      </c>
      <c r="AS37" s="24">
        <f t="shared" si="20"/>
        <v>56.5</v>
      </c>
      <c r="AT37" s="24">
        <f aca="true" t="shared" si="49" ref="AT37:AT46">AVERAGE(AP$37:AP$46)</f>
        <v>69.40218309647163</v>
      </c>
    </row>
    <row r="38" spans="1:46" ht="12">
      <c r="A38">
        <v>32</v>
      </c>
      <c r="B38">
        <v>61</v>
      </c>
      <c r="C38" s="9">
        <f t="shared" si="24"/>
        <v>58.666666666666664</v>
      </c>
      <c r="D38" s="24">
        <f>AVERAGE(B$7:B38)</f>
        <v>59.354838709677416</v>
      </c>
      <c r="E38" s="24">
        <f t="shared" si="43"/>
        <v>56.5</v>
      </c>
      <c r="G38">
        <v>77</v>
      </c>
      <c r="H38">
        <v>68</v>
      </c>
      <c r="I38">
        <v>61</v>
      </c>
      <c r="J38">
        <v>57</v>
      </c>
      <c r="K38">
        <v>48</v>
      </c>
      <c r="M38" s="9">
        <f>AVERAGE(G$7:G38)</f>
        <v>84.16129032258064</v>
      </c>
      <c r="N38" s="9">
        <f>AVERAGE(H$7:H38)</f>
        <v>73.29032258064517</v>
      </c>
      <c r="O38" s="9">
        <f>AVERAGE(I$7:I38)</f>
        <v>62.25806451612903</v>
      </c>
      <c r="P38" s="9">
        <f>AVERAGE(J$7:J38)</f>
        <v>50.70967741935484</v>
      </c>
      <c r="Q38" s="9">
        <f>AVERAGE(K$7:K38)</f>
        <v>38.54838709677419</v>
      </c>
      <c r="S38" s="9">
        <f t="shared" si="1"/>
        <v>84.16129032258064</v>
      </c>
      <c r="T38" s="6">
        <f t="shared" si="2"/>
        <v>0.870831736297432</v>
      </c>
      <c r="U38" s="6">
        <f t="shared" si="3"/>
        <v>0.7397470295132235</v>
      </c>
      <c r="V38" s="6">
        <f t="shared" si="4"/>
        <v>0.6025297048677655</v>
      </c>
      <c r="W38" s="6">
        <f t="shared" si="5"/>
        <v>0.4580298965120736</v>
      </c>
      <c r="Y38" s="24">
        <f t="shared" si="44"/>
        <v>81.7</v>
      </c>
      <c r="Z38" s="24">
        <f t="shared" si="45"/>
        <v>71.1</v>
      </c>
      <c r="AA38" s="24">
        <f t="shared" si="46"/>
        <v>60</v>
      </c>
      <c r="AB38" s="24">
        <f t="shared" si="47"/>
        <v>47.8</v>
      </c>
      <c r="AC38" s="24">
        <f t="shared" si="48"/>
        <v>34.4</v>
      </c>
      <c r="AE38" s="6">
        <f t="shared" si="11"/>
        <v>0.61</v>
      </c>
      <c r="AF38" s="6">
        <f t="shared" si="12"/>
        <v>0.6785714285714286</v>
      </c>
      <c r="AG38" s="6">
        <f t="shared" si="13"/>
        <v>0.5935483870967742</v>
      </c>
      <c r="AH38" s="6">
        <f>AVERAGE(AF$7:AF38)</f>
        <v>0.6205357142857142</v>
      </c>
      <c r="AI38" s="9">
        <f t="shared" si="14"/>
        <v>19</v>
      </c>
      <c r="AJ38">
        <v>9</v>
      </c>
      <c r="AL38">
        <f t="shared" si="15"/>
        <v>32</v>
      </c>
      <c r="AM38">
        <f t="shared" si="16"/>
        <v>61</v>
      </c>
      <c r="AN38" s="9">
        <f t="shared" si="17"/>
        <v>74.19354838709677</v>
      </c>
      <c r="AO38" s="24">
        <f t="shared" si="18"/>
        <v>59.354838709677416</v>
      </c>
      <c r="AP38" s="24">
        <f>AVERAGE(AN$7:AN38)</f>
        <v>68.54838709677418</v>
      </c>
      <c r="AQ38">
        <f t="shared" si="19"/>
        <v>23</v>
      </c>
      <c r="AR38">
        <v>8</v>
      </c>
      <c r="AS38" s="24">
        <f t="shared" si="20"/>
        <v>56.5</v>
      </c>
      <c r="AT38" s="24">
        <f t="shared" si="49"/>
        <v>69.40218309647163</v>
      </c>
    </row>
    <row r="39" spans="1:46" ht="12">
      <c r="A39">
        <v>33</v>
      </c>
      <c r="B39">
        <v>57</v>
      </c>
      <c r="C39" s="9">
        <f t="shared" si="24"/>
        <v>56.55555555555556</v>
      </c>
      <c r="D39" s="24">
        <f>AVERAGE(B$7:B39)</f>
        <v>59.28125</v>
      </c>
      <c r="E39" s="24">
        <f t="shared" si="43"/>
        <v>56.5</v>
      </c>
      <c r="G39">
        <v>87</v>
      </c>
      <c r="H39">
        <v>74</v>
      </c>
      <c r="I39">
        <v>60</v>
      </c>
      <c r="J39">
        <v>47</v>
      </c>
      <c r="K39">
        <v>34</v>
      </c>
      <c r="M39" s="9">
        <f>AVERAGE(G$7:G39)</f>
        <v>84.25</v>
      </c>
      <c r="N39" s="9">
        <f>AVERAGE(H$7:H39)</f>
        <v>73.3125</v>
      </c>
      <c r="O39" s="9">
        <f>AVERAGE(I$7:I39)</f>
        <v>62.1875</v>
      </c>
      <c r="P39" s="9">
        <f>AVERAGE(J$7:J39)</f>
        <v>50.59375</v>
      </c>
      <c r="Q39" s="9">
        <f>AVERAGE(K$7:K39)</f>
        <v>38.40625</v>
      </c>
      <c r="S39" s="9">
        <f aca="true" t="shared" si="50" ref="S39:S70">M39</f>
        <v>84.25</v>
      </c>
      <c r="T39" s="6">
        <f aca="true" t="shared" si="51" ref="T39:T70">N39/$M39</f>
        <v>0.8701780415430267</v>
      </c>
      <c r="U39" s="6">
        <f aca="true" t="shared" si="52" ref="U39:U70">O39/$M39</f>
        <v>0.7381305637982196</v>
      </c>
      <c r="V39" s="6">
        <f aca="true" t="shared" si="53" ref="V39:V70">P39/$M39</f>
        <v>0.6005192878338279</v>
      </c>
      <c r="W39" s="6">
        <f aca="true" t="shared" si="54" ref="W39:W70">Q39/$M39</f>
        <v>0.45586053412462907</v>
      </c>
      <c r="Y39" s="24">
        <f t="shared" si="44"/>
        <v>81.7</v>
      </c>
      <c r="Z39" s="24">
        <f t="shared" si="45"/>
        <v>71.1</v>
      </c>
      <c r="AA39" s="24">
        <f t="shared" si="46"/>
        <v>60</v>
      </c>
      <c r="AB39" s="24">
        <f t="shared" si="47"/>
        <v>47.8</v>
      </c>
      <c r="AC39" s="24">
        <f t="shared" si="48"/>
        <v>34.4</v>
      </c>
      <c r="AE39" s="6">
        <f aca="true" t="shared" si="55" ref="AE39:AE70">B39*0.01</f>
        <v>0.5700000000000001</v>
      </c>
      <c r="AF39" s="6">
        <f aca="true" t="shared" si="56" ref="AF39:AF63">(AI39/Number_Students)</f>
        <v>0.03571428571428571</v>
      </c>
      <c r="AG39" s="6">
        <f aca="true" t="shared" si="57" ref="AG39:AG70">D39*0.01</f>
        <v>0.5928125</v>
      </c>
      <c r="AH39" s="6">
        <f>AVERAGE(AF$7:AF39)</f>
        <v>0.6028138528138527</v>
      </c>
      <c r="AI39" s="9">
        <f aca="true" t="shared" si="58" ref="AI39:AI63">Number_Students-AJ39</f>
        <v>1</v>
      </c>
      <c r="AJ39">
        <v>27</v>
      </c>
      <c r="AL39">
        <f aca="true" t="shared" si="59" ref="AL39:AL70">A39</f>
        <v>33</v>
      </c>
      <c r="AM39">
        <f aca="true" t="shared" si="60" ref="AM39:AM70">B39</f>
        <v>57</v>
      </c>
      <c r="AN39" s="9">
        <f aca="true" t="shared" si="61" ref="AN39:AN70">(AQ39/AQ$5)*100</f>
        <v>77.41935483870968</v>
      </c>
      <c r="AO39" s="24">
        <f aca="true" t="shared" si="62" ref="AO39:AO70">D39</f>
        <v>59.28125</v>
      </c>
      <c r="AP39" s="24">
        <f>AVERAGE(AN$7:AN39)</f>
        <v>68.81720430107525</v>
      </c>
      <c r="AQ39">
        <f aca="true" t="shared" si="63" ref="AQ39:AQ70">AQ$5-AR39</f>
        <v>24</v>
      </c>
      <c r="AR39">
        <v>7</v>
      </c>
      <c r="AS39" s="24">
        <f aca="true" t="shared" si="64" ref="AS39:AS70">E39</f>
        <v>56.5</v>
      </c>
      <c r="AT39" s="24">
        <f t="shared" si="49"/>
        <v>69.40218309647163</v>
      </c>
    </row>
    <row r="40" spans="1:46" ht="12">
      <c r="A40">
        <v>34</v>
      </c>
      <c r="B40">
        <v>69</v>
      </c>
      <c r="C40" s="9">
        <f t="shared" si="24"/>
        <v>56.44444444444444</v>
      </c>
      <c r="D40" s="24">
        <f>AVERAGE(B$7:B40)</f>
        <v>59.57575757575758</v>
      </c>
      <c r="E40" s="24">
        <f t="shared" si="43"/>
        <v>56.5</v>
      </c>
      <c r="G40">
        <v>93</v>
      </c>
      <c r="H40">
        <v>88</v>
      </c>
      <c r="I40">
        <v>77</v>
      </c>
      <c r="J40">
        <v>61</v>
      </c>
      <c r="K40">
        <v>37</v>
      </c>
      <c r="M40" s="9">
        <f>AVERAGE(G$7:G40)</f>
        <v>84.51515151515152</v>
      </c>
      <c r="N40" s="9">
        <f>AVERAGE(H$7:H40)</f>
        <v>73.75757575757575</v>
      </c>
      <c r="O40" s="9">
        <f>AVERAGE(I$7:I40)</f>
        <v>62.63636363636363</v>
      </c>
      <c r="P40" s="9">
        <f>AVERAGE(J$7:J40)</f>
        <v>50.90909090909091</v>
      </c>
      <c r="Q40" s="9">
        <f>AVERAGE(K$7:K40)</f>
        <v>38.36363636363637</v>
      </c>
      <c r="S40" s="9">
        <f t="shared" si="50"/>
        <v>84.51515151515152</v>
      </c>
      <c r="T40" s="6">
        <f t="shared" si="51"/>
        <v>0.8727142344926496</v>
      </c>
      <c r="U40" s="6">
        <f t="shared" si="52"/>
        <v>0.7411258515596988</v>
      </c>
      <c r="V40" s="6">
        <f t="shared" si="53"/>
        <v>0.6023664395840803</v>
      </c>
      <c r="W40" s="6">
        <f t="shared" si="54"/>
        <v>0.45392613840086055</v>
      </c>
      <c r="Y40" s="24">
        <f t="shared" si="44"/>
        <v>81.7</v>
      </c>
      <c r="Z40" s="24">
        <f t="shared" si="45"/>
        <v>71.1</v>
      </c>
      <c r="AA40" s="24">
        <f t="shared" si="46"/>
        <v>60</v>
      </c>
      <c r="AB40" s="24">
        <f t="shared" si="47"/>
        <v>47.8</v>
      </c>
      <c r="AC40" s="24">
        <f t="shared" si="48"/>
        <v>34.4</v>
      </c>
      <c r="AE40" s="6">
        <f t="shared" si="55"/>
        <v>0.6900000000000001</v>
      </c>
      <c r="AF40" s="6">
        <f t="shared" si="56"/>
        <v>0.7142857142857143</v>
      </c>
      <c r="AG40" s="6">
        <f t="shared" si="57"/>
        <v>0.5957575757575758</v>
      </c>
      <c r="AH40" s="6">
        <f>AVERAGE(AF$7:AF40)</f>
        <v>0.6060924369747899</v>
      </c>
      <c r="AI40" s="9">
        <f t="shared" si="58"/>
        <v>20</v>
      </c>
      <c r="AJ40">
        <v>8</v>
      </c>
      <c r="AL40">
        <f t="shared" si="59"/>
        <v>34</v>
      </c>
      <c r="AM40">
        <f t="shared" si="60"/>
        <v>69</v>
      </c>
      <c r="AN40" s="9">
        <f t="shared" si="61"/>
        <v>93.54838709677419</v>
      </c>
      <c r="AO40" s="24">
        <f t="shared" si="62"/>
        <v>59.57575757575758</v>
      </c>
      <c r="AP40" s="24">
        <f>AVERAGE(AN$7:AN40)</f>
        <v>69.54459203036052</v>
      </c>
      <c r="AQ40">
        <f t="shared" si="63"/>
        <v>29</v>
      </c>
      <c r="AR40">
        <v>2</v>
      </c>
      <c r="AS40" s="24">
        <f t="shared" si="64"/>
        <v>56.5</v>
      </c>
      <c r="AT40" s="24">
        <f t="shared" si="49"/>
        <v>69.40218309647163</v>
      </c>
    </row>
    <row r="41" spans="1:46" ht="12">
      <c r="A41">
        <v>35</v>
      </c>
      <c r="B41">
        <v>55</v>
      </c>
      <c r="C41" s="9">
        <f t="shared" si="24"/>
        <v>54.44444444444444</v>
      </c>
      <c r="D41" s="24">
        <f>AVERAGE(B$7:B41)</f>
        <v>59.44117647058823</v>
      </c>
      <c r="E41" s="24">
        <f t="shared" si="43"/>
        <v>56.5</v>
      </c>
      <c r="G41">
        <v>73</v>
      </c>
      <c r="H41">
        <v>65</v>
      </c>
      <c r="I41">
        <v>56</v>
      </c>
      <c r="J41">
        <v>50</v>
      </c>
      <c r="K41">
        <v>41</v>
      </c>
      <c r="M41" s="9">
        <f>AVERAGE(G$7:G41)</f>
        <v>84.17647058823529</v>
      </c>
      <c r="N41" s="9">
        <f>AVERAGE(H$7:H41)</f>
        <v>73.5</v>
      </c>
      <c r="O41" s="9">
        <f>AVERAGE(I$7:I41)</f>
        <v>62.44117647058823</v>
      </c>
      <c r="P41" s="9">
        <f>AVERAGE(J$7:J41)</f>
        <v>50.88235294117647</v>
      </c>
      <c r="Q41" s="9">
        <f>AVERAGE(K$7:K41)</f>
        <v>38.44117647058823</v>
      </c>
      <c r="S41" s="9">
        <f t="shared" si="50"/>
        <v>84.17647058823529</v>
      </c>
      <c r="T41" s="6">
        <f t="shared" si="51"/>
        <v>0.8731656184486374</v>
      </c>
      <c r="U41" s="6">
        <f t="shared" si="52"/>
        <v>0.7417889587700909</v>
      </c>
      <c r="V41" s="6">
        <f t="shared" si="53"/>
        <v>0.6044723969252271</v>
      </c>
      <c r="W41" s="6">
        <f t="shared" si="54"/>
        <v>0.45667365478686234</v>
      </c>
      <c r="Y41" s="24">
        <f t="shared" si="44"/>
        <v>81.7</v>
      </c>
      <c r="Z41" s="24">
        <f t="shared" si="45"/>
        <v>71.1</v>
      </c>
      <c r="AA41" s="24">
        <f t="shared" si="46"/>
        <v>60</v>
      </c>
      <c r="AB41" s="24">
        <f t="shared" si="47"/>
        <v>47.8</v>
      </c>
      <c r="AC41" s="24">
        <f t="shared" si="48"/>
        <v>34.4</v>
      </c>
      <c r="AE41" s="6">
        <f t="shared" si="55"/>
        <v>0.55</v>
      </c>
      <c r="AF41" s="6">
        <f t="shared" si="56"/>
        <v>0.6071428571428571</v>
      </c>
      <c r="AG41" s="6">
        <f t="shared" si="57"/>
        <v>0.5944117647058823</v>
      </c>
      <c r="AH41" s="6">
        <f>AVERAGE(AF$7:AF41)</f>
        <v>0.6061224489795918</v>
      </c>
      <c r="AI41" s="9">
        <f t="shared" si="58"/>
        <v>17</v>
      </c>
      <c r="AJ41">
        <v>11</v>
      </c>
      <c r="AL41">
        <f t="shared" si="59"/>
        <v>35</v>
      </c>
      <c r="AM41">
        <f t="shared" si="60"/>
        <v>55</v>
      </c>
      <c r="AN41" s="9">
        <f t="shared" si="61"/>
        <v>64.51612903225806</v>
      </c>
      <c r="AO41" s="24">
        <f t="shared" si="62"/>
        <v>59.44117647058823</v>
      </c>
      <c r="AP41" s="24">
        <f>AVERAGE(AN$7:AN41)</f>
        <v>69.40092165898616</v>
      </c>
      <c r="AQ41">
        <f t="shared" si="63"/>
        <v>20</v>
      </c>
      <c r="AR41">
        <v>11</v>
      </c>
      <c r="AS41" s="24">
        <f t="shared" si="64"/>
        <v>56.5</v>
      </c>
      <c r="AT41" s="24">
        <f t="shared" si="49"/>
        <v>69.40218309647163</v>
      </c>
    </row>
    <row r="42" spans="1:46" ht="12">
      <c r="A42">
        <v>36</v>
      </c>
      <c r="B42">
        <v>61</v>
      </c>
      <c r="C42" s="9">
        <f t="shared" si="24"/>
        <v>54.111111111111114</v>
      </c>
      <c r="D42" s="24">
        <f>AVERAGE(B$7:B42)</f>
        <v>59.48571428571429</v>
      </c>
      <c r="E42" s="24">
        <f t="shared" si="43"/>
        <v>56.5</v>
      </c>
      <c r="G42">
        <v>89</v>
      </c>
      <c r="H42">
        <v>78</v>
      </c>
      <c r="I42">
        <v>68</v>
      </c>
      <c r="J42">
        <v>52</v>
      </c>
      <c r="K42">
        <v>31</v>
      </c>
      <c r="M42" s="9">
        <f>AVERAGE(G$7:G42)</f>
        <v>84.31428571428572</v>
      </c>
      <c r="N42" s="9">
        <f>AVERAGE(H$7:H42)</f>
        <v>73.62857142857143</v>
      </c>
      <c r="O42" s="9">
        <f>AVERAGE(I$7:I42)</f>
        <v>62.6</v>
      </c>
      <c r="P42" s="9">
        <f>AVERAGE(J$7:J42)</f>
        <v>50.91428571428571</v>
      </c>
      <c r="Q42" s="9">
        <f>AVERAGE(K$7:K42)</f>
        <v>38.22857142857143</v>
      </c>
      <c r="S42" s="9">
        <f t="shared" si="50"/>
        <v>84.31428571428572</v>
      </c>
      <c r="T42" s="6">
        <f t="shared" si="51"/>
        <v>0.8732633005760759</v>
      </c>
      <c r="U42" s="6">
        <f t="shared" si="52"/>
        <v>0.7424601829888173</v>
      </c>
      <c r="V42" s="6">
        <f t="shared" si="53"/>
        <v>0.6038630972551677</v>
      </c>
      <c r="W42" s="6">
        <f t="shared" si="54"/>
        <v>0.45340562521179256</v>
      </c>
      <c r="Y42" s="24">
        <f t="shared" si="44"/>
        <v>81.7</v>
      </c>
      <c r="Z42" s="24">
        <f t="shared" si="45"/>
        <v>71.1</v>
      </c>
      <c r="AA42" s="24">
        <f t="shared" si="46"/>
        <v>60</v>
      </c>
      <c r="AB42" s="24">
        <f t="shared" si="47"/>
        <v>47.8</v>
      </c>
      <c r="AC42" s="24">
        <f t="shared" si="48"/>
        <v>34.4</v>
      </c>
      <c r="AE42" s="6">
        <f t="shared" si="55"/>
        <v>0.61</v>
      </c>
      <c r="AF42" s="6">
        <f t="shared" si="56"/>
        <v>1</v>
      </c>
      <c r="AG42" s="6">
        <f t="shared" si="57"/>
        <v>0.5948571428571429</v>
      </c>
      <c r="AH42" s="6">
        <f>AVERAGE(AF$7:AF42)</f>
        <v>0.617063492063492</v>
      </c>
      <c r="AI42" s="9">
        <f t="shared" si="58"/>
        <v>28</v>
      </c>
      <c r="AJ42">
        <v>0</v>
      </c>
      <c r="AL42">
        <f t="shared" si="59"/>
        <v>36</v>
      </c>
      <c r="AM42">
        <f t="shared" si="60"/>
        <v>61</v>
      </c>
      <c r="AN42" s="9">
        <f t="shared" si="61"/>
        <v>87.09677419354838</v>
      </c>
      <c r="AO42" s="24">
        <f t="shared" si="62"/>
        <v>59.48571428571429</v>
      </c>
      <c r="AP42" s="24">
        <f>AVERAGE(AN$7:AN42)</f>
        <v>69.89247311827955</v>
      </c>
      <c r="AQ42">
        <f t="shared" si="63"/>
        <v>27</v>
      </c>
      <c r="AR42">
        <v>4</v>
      </c>
      <c r="AS42" s="24">
        <f t="shared" si="64"/>
        <v>56.5</v>
      </c>
      <c r="AT42" s="24">
        <f t="shared" si="49"/>
        <v>69.40218309647163</v>
      </c>
    </row>
    <row r="43" spans="1:46" ht="12">
      <c r="A43">
        <v>37</v>
      </c>
      <c r="B43">
        <v>30</v>
      </c>
      <c r="C43" s="9">
        <f t="shared" si="24"/>
        <v>50.55555555555556</v>
      </c>
      <c r="D43" s="24">
        <f>AVERAGE(B$7:B43)</f>
        <v>58.666666666666664</v>
      </c>
      <c r="E43" s="24">
        <f t="shared" si="43"/>
        <v>56.5</v>
      </c>
      <c r="G43">
        <v>64</v>
      </c>
      <c r="H43">
        <v>43</v>
      </c>
      <c r="I43">
        <v>29</v>
      </c>
      <c r="J43">
        <v>18</v>
      </c>
      <c r="K43">
        <v>16</v>
      </c>
      <c r="M43" s="9">
        <f>AVERAGE(G$7:G43)</f>
        <v>83.75</v>
      </c>
      <c r="N43" s="9">
        <f>AVERAGE(H$7:H43)</f>
        <v>72.77777777777777</v>
      </c>
      <c r="O43" s="9">
        <f>AVERAGE(I$7:I43)</f>
        <v>61.666666666666664</v>
      </c>
      <c r="P43" s="9">
        <f>AVERAGE(J$7:J43)</f>
        <v>50</v>
      </c>
      <c r="Q43" s="9">
        <f>AVERAGE(K$7:K43)</f>
        <v>37.611111111111114</v>
      </c>
      <c r="S43" s="9">
        <f t="shared" si="50"/>
        <v>83.75</v>
      </c>
      <c r="T43" s="6">
        <f t="shared" si="51"/>
        <v>0.868988391376451</v>
      </c>
      <c r="U43" s="6">
        <f t="shared" si="52"/>
        <v>0.736318407960199</v>
      </c>
      <c r="V43" s="6">
        <f t="shared" si="53"/>
        <v>0.5970149253731343</v>
      </c>
      <c r="W43" s="6">
        <f t="shared" si="54"/>
        <v>0.4490878938640133</v>
      </c>
      <c r="Y43" s="24">
        <f t="shared" si="44"/>
        <v>81.7</v>
      </c>
      <c r="Z43" s="24">
        <f t="shared" si="45"/>
        <v>71.1</v>
      </c>
      <c r="AA43" s="24">
        <f t="shared" si="46"/>
        <v>60</v>
      </c>
      <c r="AB43" s="24">
        <f t="shared" si="47"/>
        <v>47.8</v>
      </c>
      <c r="AC43" s="24">
        <f t="shared" si="48"/>
        <v>34.4</v>
      </c>
      <c r="AE43" s="6">
        <f t="shared" si="55"/>
        <v>0.3</v>
      </c>
      <c r="AF43" s="6">
        <f t="shared" si="56"/>
        <v>0.8571428571428571</v>
      </c>
      <c r="AG43" s="6">
        <f t="shared" si="57"/>
        <v>0.5866666666666667</v>
      </c>
      <c r="AH43" s="6">
        <f>AVERAGE(AF$7:AF43)</f>
        <v>0.6235521235521235</v>
      </c>
      <c r="AI43" s="9">
        <f t="shared" si="58"/>
        <v>24</v>
      </c>
      <c r="AJ43">
        <v>4</v>
      </c>
      <c r="AL43">
        <f t="shared" si="59"/>
        <v>37</v>
      </c>
      <c r="AM43">
        <f t="shared" si="60"/>
        <v>30</v>
      </c>
      <c r="AN43" s="9">
        <f t="shared" si="61"/>
        <v>48.38709677419355</v>
      </c>
      <c r="AO43" s="24">
        <f t="shared" si="62"/>
        <v>58.666666666666664</v>
      </c>
      <c r="AP43" s="24">
        <f>AVERAGE(AN$7:AN43)</f>
        <v>69.31124673060155</v>
      </c>
      <c r="AQ43">
        <f t="shared" si="63"/>
        <v>15</v>
      </c>
      <c r="AR43">
        <v>16</v>
      </c>
      <c r="AS43" s="24">
        <f t="shared" si="64"/>
        <v>56.5</v>
      </c>
      <c r="AT43" s="24">
        <f t="shared" si="49"/>
        <v>69.40218309647163</v>
      </c>
    </row>
    <row r="44" spans="1:46" ht="12">
      <c r="A44">
        <v>38</v>
      </c>
      <c r="B44">
        <v>48</v>
      </c>
      <c r="C44" s="9">
        <f t="shared" si="24"/>
        <v>52.333333333333336</v>
      </c>
      <c r="D44" s="24">
        <f>AVERAGE(B$7:B44)</f>
        <v>58.37837837837838</v>
      </c>
      <c r="E44" s="24">
        <f t="shared" si="43"/>
        <v>56.5</v>
      </c>
      <c r="G44">
        <v>74</v>
      </c>
      <c r="H44">
        <v>61</v>
      </c>
      <c r="I44">
        <v>50</v>
      </c>
      <c r="J44">
        <v>38</v>
      </c>
      <c r="K44">
        <v>31</v>
      </c>
      <c r="M44" s="9">
        <f>AVERAGE(G$7:G44)</f>
        <v>83.48648648648648</v>
      </c>
      <c r="N44" s="9">
        <f>AVERAGE(H$7:H44)</f>
        <v>72.45945945945945</v>
      </c>
      <c r="O44" s="9">
        <f>AVERAGE(I$7:I44)</f>
        <v>61.351351351351354</v>
      </c>
      <c r="P44" s="9">
        <f>AVERAGE(J$7:J44)</f>
        <v>49.67567567567568</v>
      </c>
      <c r="Q44" s="9">
        <f>AVERAGE(K$7:K44)</f>
        <v>37.432432432432435</v>
      </c>
      <c r="S44" s="9">
        <f t="shared" si="50"/>
        <v>83.48648648648648</v>
      </c>
      <c r="T44" s="6">
        <f t="shared" si="51"/>
        <v>0.8679184202007122</v>
      </c>
      <c r="U44" s="6">
        <f t="shared" si="52"/>
        <v>0.734865652314665</v>
      </c>
      <c r="V44" s="6">
        <f t="shared" si="53"/>
        <v>0.5950145678213015</v>
      </c>
      <c r="W44" s="6">
        <f t="shared" si="54"/>
        <v>0.4483651667206216</v>
      </c>
      <c r="Y44" s="24">
        <f t="shared" si="44"/>
        <v>81.7</v>
      </c>
      <c r="Z44" s="24">
        <f t="shared" si="45"/>
        <v>71.1</v>
      </c>
      <c r="AA44" s="24">
        <f t="shared" si="46"/>
        <v>60</v>
      </c>
      <c r="AB44" s="24">
        <f t="shared" si="47"/>
        <v>47.8</v>
      </c>
      <c r="AC44" s="24">
        <f t="shared" si="48"/>
        <v>34.4</v>
      </c>
      <c r="AE44" s="6">
        <f t="shared" si="55"/>
        <v>0.48</v>
      </c>
      <c r="AF44" s="6">
        <f t="shared" si="56"/>
        <v>0.5</v>
      </c>
      <c r="AG44" s="6">
        <f t="shared" si="57"/>
        <v>0.5837837837837838</v>
      </c>
      <c r="AH44" s="6">
        <f>AVERAGE(AF$7:AF44)</f>
        <v>0.6203007518796992</v>
      </c>
      <c r="AI44" s="9">
        <f t="shared" si="58"/>
        <v>14</v>
      </c>
      <c r="AJ44">
        <v>14</v>
      </c>
      <c r="AL44">
        <f t="shared" si="59"/>
        <v>38</v>
      </c>
      <c r="AM44">
        <f t="shared" si="60"/>
        <v>48</v>
      </c>
      <c r="AN44" s="9">
        <f t="shared" si="61"/>
        <v>74.19354838709677</v>
      </c>
      <c r="AO44" s="24">
        <f t="shared" si="62"/>
        <v>58.37837837837838</v>
      </c>
      <c r="AP44" s="24">
        <f>AVERAGE(AN$7:AN44)</f>
        <v>69.4397283531409</v>
      </c>
      <c r="AQ44">
        <f t="shared" si="63"/>
        <v>23</v>
      </c>
      <c r="AR44">
        <v>8</v>
      </c>
      <c r="AS44" s="24">
        <f t="shared" si="64"/>
        <v>56.5</v>
      </c>
      <c r="AT44" s="24">
        <f t="shared" si="49"/>
        <v>69.40218309647163</v>
      </c>
    </row>
    <row r="45" spans="1:46" ht="12">
      <c r="A45">
        <v>39</v>
      </c>
      <c r="B45">
        <v>53</v>
      </c>
      <c r="C45" s="9">
        <f t="shared" si="24"/>
        <v>52.4</v>
      </c>
      <c r="D45" s="24">
        <f>AVERAGE(B$7:B45)</f>
        <v>58.23684210526316</v>
      </c>
      <c r="E45" s="24">
        <f t="shared" si="43"/>
        <v>56.5</v>
      </c>
      <c r="G45">
        <v>78</v>
      </c>
      <c r="H45">
        <v>67</v>
      </c>
      <c r="I45">
        <v>55</v>
      </c>
      <c r="J45">
        <v>45</v>
      </c>
      <c r="K45">
        <v>32</v>
      </c>
      <c r="M45" s="9">
        <f>AVERAGE(G$7:G45)</f>
        <v>83.34210526315789</v>
      </c>
      <c r="N45" s="9">
        <f>AVERAGE(H$7:H45)</f>
        <v>72.3157894736842</v>
      </c>
      <c r="O45" s="9">
        <f>AVERAGE(I$7:I45)</f>
        <v>61.18421052631579</v>
      </c>
      <c r="P45" s="9">
        <f>AVERAGE(J$7:J45)</f>
        <v>49.55263157894737</v>
      </c>
      <c r="Q45" s="9">
        <f>AVERAGE(K$7:K45)</f>
        <v>37.28947368421053</v>
      </c>
      <c r="S45" s="9">
        <f t="shared" si="50"/>
        <v>83.34210526315789</v>
      </c>
      <c r="T45" s="6">
        <f t="shared" si="51"/>
        <v>0.8676981370382065</v>
      </c>
      <c r="U45" s="6">
        <f t="shared" si="52"/>
        <v>0.7341332491316703</v>
      </c>
      <c r="V45" s="6">
        <f t="shared" si="53"/>
        <v>0.5945689927376067</v>
      </c>
      <c r="W45" s="6">
        <f t="shared" si="54"/>
        <v>0.4474265866750869</v>
      </c>
      <c r="Y45" s="24">
        <f t="shared" si="44"/>
        <v>81.7</v>
      </c>
      <c r="Z45" s="24">
        <f t="shared" si="45"/>
        <v>71.1</v>
      </c>
      <c r="AA45" s="24">
        <f t="shared" si="46"/>
        <v>60</v>
      </c>
      <c r="AB45" s="24">
        <f t="shared" si="47"/>
        <v>47.8</v>
      </c>
      <c r="AC45" s="24">
        <f t="shared" si="48"/>
        <v>34.4</v>
      </c>
      <c r="AE45" s="6">
        <f t="shared" si="55"/>
        <v>0.53</v>
      </c>
      <c r="AF45" s="6">
        <f t="shared" si="56"/>
        <v>0.39285714285714285</v>
      </c>
      <c r="AG45" s="6">
        <f t="shared" si="57"/>
        <v>0.5823684210526315</v>
      </c>
      <c r="AH45" s="6">
        <f>AVERAGE(AF$7:AF45)</f>
        <v>0.6144688644688644</v>
      </c>
      <c r="AI45" s="9">
        <f t="shared" si="58"/>
        <v>11</v>
      </c>
      <c r="AJ45">
        <v>17</v>
      </c>
      <c r="AL45">
        <f t="shared" si="59"/>
        <v>39</v>
      </c>
      <c r="AM45">
        <f t="shared" si="60"/>
        <v>53</v>
      </c>
      <c r="AN45" s="9">
        <f t="shared" si="61"/>
        <v>90.32258064516128</v>
      </c>
      <c r="AO45" s="24">
        <f t="shared" si="62"/>
        <v>58.23684210526316</v>
      </c>
      <c r="AP45" s="24">
        <f>AVERAGE(AN$7:AN45)</f>
        <v>69.97518610421835</v>
      </c>
      <c r="AQ45">
        <f t="shared" si="63"/>
        <v>28</v>
      </c>
      <c r="AR45">
        <v>3</v>
      </c>
      <c r="AS45" s="24">
        <f t="shared" si="64"/>
        <v>56.5</v>
      </c>
      <c r="AT45" s="24">
        <f t="shared" si="49"/>
        <v>69.40218309647163</v>
      </c>
    </row>
    <row r="46" spans="1:46" ht="12">
      <c r="A46">
        <v>40</v>
      </c>
      <c r="B46">
        <v>70</v>
      </c>
      <c r="C46" s="9">
        <f t="shared" si="24"/>
        <v>56.5</v>
      </c>
      <c r="D46" s="24">
        <f>AVERAGE(B$7:B46)</f>
        <v>58.53846153846154</v>
      </c>
      <c r="E46" s="24">
        <f t="shared" si="43"/>
        <v>56.5</v>
      </c>
      <c r="G46">
        <v>93</v>
      </c>
      <c r="H46">
        <v>86</v>
      </c>
      <c r="I46">
        <v>77</v>
      </c>
      <c r="J46">
        <v>60</v>
      </c>
      <c r="K46">
        <v>42</v>
      </c>
      <c r="M46" s="9">
        <f>AVERAGE(G$7:G46)</f>
        <v>83.58974358974359</v>
      </c>
      <c r="N46" s="9">
        <f>AVERAGE(H$7:H46)</f>
        <v>72.66666666666667</v>
      </c>
      <c r="O46" s="9">
        <f>AVERAGE(I$7:I46)</f>
        <v>61.58974358974359</v>
      </c>
      <c r="P46" s="9">
        <f>AVERAGE(J$7:J46)</f>
        <v>49.82051282051282</v>
      </c>
      <c r="Q46" s="9">
        <f>AVERAGE(K$7:K46)</f>
        <v>37.41025641025641</v>
      </c>
      <c r="S46" s="9">
        <f t="shared" si="50"/>
        <v>83.58974358974359</v>
      </c>
      <c r="T46" s="6">
        <f t="shared" si="51"/>
        <v>0.8693251533742332</v>
      </c>
      <c r="U46" s="6">
        <f t="shared" si="52"/>
        <v>0.7368098159509202</v>
      </c>
      <c r="V46" s="6">
        <f t="shared" si="53"/>
        <v>0.5960122699386503</v>
      </c>
      <c r="W46" s="6">
        <f t="shared" si="54"/>
        <v>0.4475460122699386</v>
      </c>
      <c r="Y46" s="24">
        <f t="shared" si="44"/>
        <v>81.7</v>
      </c>
      <c r="Z46" s="24">
        <f t="shared" si="45"/>
        <v>71.1</v>
      </c>
      <c r="AA46" s="24">
        <f t="shared" si="46"/>
        <v>60</v>
      </c>
      <c r="AB46" s="24">
        <f t="shared" si="47"/>
        <v>47.8</v>
      </c>
      <c r="AC46" s="24">
        <f t="shared" si="48"/>
        <v>34.4</v>
      </c>
      <c r="AE46" s="6">
        <f t="shared" si="55"/>
        <v>0.7000000000000001</v>
      </c>
      <c r="AF46" s="6">
        <f t="shared" si="56"/>
        <v>0.8571428571428571</v>
      </c>
      <c r="AG46" s="6">
        <f t="shared" si="57"/>
        <v>0.5853846153846154</v>
      </c>
      <c r="AH46" s="6">
        <f>AVERAGE(AF$7:AF46)</f>
        <v>0.6205357142857142</v>
      </c>
      <c r="AI46" s="9">
        <f t="shared" si="58"/>
        <v>24</v>
      </c>
      <c r="AJ46">
        <v>4</v>
      </c>
      <c r="AL46">
        <f t="shared" si="59"/>
        <v>40</v>
      </c>
      <c r="AM46">
        <f t="shared" si="60"/>
        <v>70</v>
      </c>
      <c r="AN46" s="9">
        <f t="shared" si="61"/>
        <v>100</v>
      </c>
      <c r="AO46" s="24">
        <f t="shared" si="62"/>
        <v>58.53846153846154</v>
      </c>
      <c r="AP46" s="24">
        <f>AVERAGE(AN$7:AN46)</f>
        <v>70.7258064516129</v>
      </c>
      <c r="AQ46">
        <f t="shared" si="63"/>
        <v>31</v>
      </c>
      <c r="AR46">
        <v>0</v>
      </c>
      <c r="AS46" s="24">
        <f t="shared" si="64"/>
        <v>56.5</v>
      </c>
      <c r="AT46" s="24">
        <f t="shared" si="49"/>
        <v>69.40218309647163</v>
      </c>
    </row>
    <row r="47" spans="1:46" ht="12">
      <c r="A47">
        <v>41</v>
      </c>
      <c r="B47">
        <v>57</v>
      </c>
      <c r="C47" s="9">
        <f t="shared" si="24"/>
        <v>56.1</v>
      </c>
      <c r="D47" s="24">
        <f>AVERAGE(B$7:B47)</f>
        <v>58.5</v>
      </c>
      <c r="E47" s="24">
        <f aca="true" t="shared" si="65" ref="E47:E56">AVERAGE(B$47:B$56)</f>
        <v>43</v>
      </c>
      <c r="G47">
        <v>76</v>
      </c>
      <c r="H47">
        <v>68</v>
      </c>
      <c r="I47">
        <v>61</v>
      </c>
      <c r="J47">
        <v>52</v>
      </c>
      <c r="K47">
        <v>36</v>
      </c>
      <c r="M47" s="9">
        <f>AVERAGE(G$7:G47)</f>
        <v>83.4</v>
      </c>
      <c r="N47" s="9">
        <f>AVERAGE(H$7:H47)</f>
        <v>72.55</v>
      </c>
      <c r="O47" s="9">
        <f>AVERAGE(I$7:I47)</f>
        <v>61.575</v>
      </c>
      <c r="P47" s="9">
        <f>AVERAGE(J$7:J47)</f>
        <v>49.875</v>
      </c>
      <c r="Q47" s="9">
        <f>AVERAGE(K$7:K47)</f>
        <v>37.375</v>
      </c>
      <c r="S47" s="9">
        <f t="shared" si="50"/>
        <v>83.4</v>
      </c>
      <c r="T47" s="6">
        <f t="shared" si="51"/>
        <v>0.869904076738609</v>
      </c>
      <c r="U47" s="6">
        <f t="shared" si="52"/>
        <v>0.7383093525179856</v>
      </c>
      <c r="V47" s="6">
        <f t="shared" si="53"/>
        <v>0.5980215827338129</v>
      </c>
      <c r="W47" s="6">
        <f t="shared" si="54"/>
        <v>0.44814148681055155</v>
      </c>
      <c r="Y47" s="24">
        <f aca="true" t="shared" si="66" ref="Y47:Y56">AVERAGE(G$47:G$56)</f>
        <v>72.4</v>
      </c>
      <c r="Z47" s="24">
        <f aca="true" t="shared" si="67" ref="Z47:Z56">AVERAGE(H$47:H$56)</f>
        <v>58.5</v>
      </c>
      <c r="AA47" s="24">
        <f aca="true" t="shared" si="68" ref="AA47:AA56">AVERAGE(I$47:I$56)</f>
        <v>45</v>
      </c>
      <c r="AB47" s="24">
        <f aca="true" t="shared" si="69" ref="AB47:AB56">AVERAGE(J$47:J$56)</f>
        <v>32.3</v>
      </c>
      <c r="AC47" s="24">
        <f aca="true" t="shared" si="70" ref="AC47:AC56">AVERAGE(K$47:K$56)</f>
        <v>22.2</v>
      </c>
      <c r="AE47" s="6">
        <f t="shared" si="55"/>
        <v>0.5700000000000001</v>
      </c>
      <c r="AF47" s="6">
        <f t="shared" si="56"/>
        <v>0.39285714285714285</v>
      </c>
      <c r="AG47" s="6">
        <f t="shared" si="57"/>
        <v>0.585</v>
      </c>
      <c r="AH47" s="6">
        <f>AVERAGE(AF$7:AF47)</f>
        <v>0.6149825783972125</v>
      </c>
      <c r="AI47" s="9">
        <f t="shared" si="58"/>
        <v>11</v>
      </c>
      <c r="AJ47">
        <v>17</v>
      </c>
      <c r="AL47">
        <f t="shared" si="59"/>
        <v>41</v>
      </c>
      <c r="AM47">
        <f t="shared" si="60"/>
        <v>57</v>
      </c>
      <c r="AN47" s="9">
        <f t="shared" si="61"/>
        <v>83.87096774193549</v>
      </c>
      <c r="AO47" s="24">
        <f t="shared" si="62"/>
        <v>58.5</v>
      </c>
      <c r="AP47" s="24">
        <f>AVERAGE(AN$7:AN47)</f>
        <v>71.04642014162076</v>
      </c>
      <c r="AQ47">
        <f t="shared" si="63"/>
        <v>26</v>
      </c>
      <c r="AR47">
        <v>5</v>
      </c>
      <c r="AS47" s="24">
        <f t="shared" si="64"/>
        <v>43</v>
      </c>
      <c r="AT47" s="24">
        <f aca="true" t="shared" si="71" ref="AT47:AT56">AVERAGE(AP$47:AP$56)</f>
        <v>71.57159251230304</v>
      </c>
    </row>
    <row r="48" spans="1:46" ht="12">
      <c r="A48">
        <v>42</v>
      </c>
      <c r="B48">
        <v>30</v>
      </c>
      <c r="C48" s="9">
        <f aca="true" t="shared" si="72" ref="C48:C76">AVERAGE(B39:B48)</f>
        <v>53</v>
      </c>
      <c r="D48" s="24">
        <f>AVERAGE(B$7:B48)</f>
        <v>57.80487804878049</v>
      </c>
      <c r="E48" s="24">
        <f t="shared" si="65"/>
        <v>43</v>
      </c>
      <c r="G48">
        <v>51</v>
      </c>
      <c r="H48">
        <v>39</v>
      </c>
      <c r="I48">
        <v>31</v>
      </c>
      <c r="J48">
        <v>22</v>
      </c>
      <c r="K48">
        <v>17</v>
      </c>
      <c r="M48" s="9">
        <f>AVERAGE(G$7:G48)</f>
        <v>82.60975609756098</v>
      </c>
      <c r="N48" s="9">
        <f>AVERAGE(H$7:H48)</f>
        <v>71.73170731707317</v>
      </c>
      <c r="O48" s="9">
        <f>AVERAGE(I$7:I48)</f>
        <v>60.829268292682926</v>
      </c>
      <c r="P48" s="9">
        <f>AVERAGE(J$7:J48)</f>
        <v>49.19512195121951</v>
      </c>
      <c r="Q48" s="9">
        <f>AVERAGE(K$7:K48)</f>
        <v>36.8780487804878</v>
      </c>
      <c r="S48" s="9">
        <f t="shared" si="50"/>
        <v>82.60975609756098</v>
      </c>
      <c r="T48" s="6">
        <f t="shared" si="51"/>
        <v>0.868320047239445</v>
      </c>
      <c r="U48" s="6">
        <f t="shared" si="52"/>
        <v>0.7363448479480366</v>
      </c>
      <c r="V48" s="6">
        <f t="shared" si="53"/>
        <v>0.5955122527310304</v>
      </c>
      <c r="W48" s="6">
        <f t="shared" si="54"/>
        <v>0.4464127546501328</v>
      </c>
      <c r="Y48" s="24">
        <f t="shared" si="66"/>
        <v>72.4</v>
      </c>
      <c r="Z48" s="24">
        <f t="shared" si="67"/>
        <v>58.5</v>
      </c>
      <c r="AA48" s="24">
        <f t="shared" si="68"/>
        <v>45</v>
      </c>
      <c r="AB48" s="24">
        <f t="shared" si="69"/>
        <v>32.3</v>
      </c>
      <c r="AC48" s="24">
        <f t="shared" si="70"/>
        <v>22.2</v>
      </c>
      <c r="AE48" s="6">
        <f t="shared" si="55"/>
        <v>0.3</v>
      </c>
      <c r="AF48" s="6">
        <f t="shared" si="56"/>
        <v>0.10714285714285714</v>
      </c>
      <c r="AG48" s="6">
        <f t="shared" si="57"/>
        <v>0.5780487804878048</v>
      </c>
      <c r="AH48" s="6">
        <f>AVERAGE(AF$7:AF48)</f>
        <v>0.602891156462585</v>
      </c>
      <c r="AI48" s="9">
        <f t="shared" si="58"/>
        <v>3</v>
      </c>
      <c r="AJ48">
        <v>25</v>
      </c>
      <c r="AL48">
        <f t="shared" si="59"/>
        <v>42</v>
      </c>
      <c r="AM48">
        <f t="shared" si="60"/>
        <v>30</v>
      </c>
      <c r="AN48" s="9">
        <f t="shared" si="61"/>
        <v>87.09677419354838</v>
      </c>
      <c r="AO48" s="24">
        <f t="shared" si="62"/>
        <v>57.80487804878049</v>
      </c>
      <c r="AP48" s="24">
        <f>AVERAGE(AN$7:AN48)</f>
        <v>71.42857142857142</v>
      </c>
      <c r="AQ48">
        <f t="shared" si="63"/>
        <v>27</v>
      </c>
      <c r="AR48">
        <v>4</v>
      </c>
      <c r="AS48" s="24">
        <f t="shared" si="64"/>
        <v>43</v>
      </c>
      <c r="AT48" s="24">
        <f t="shared" si="71"/>
        <v>71.57159251230304</v>
      </c>
    </row>
    <row r="49" spans="1:46" ht="12">
      <c r="A49">
        <v>43</v>
      </c>
      <c r="B49">
        <v>34</v>
      </c>
      <c r="C49" s="9">
        <f t="shared" si="72"/>
        <v>50.7</v>
      </c>
      <c r="D49" s="24">
        <f>AVERAGE(B$7:B49)</f>
        <v>57.23809523809524</v>
      </c>
      <c r="E49" s="24">
        <f t="shared" si="65"/>
        <v>43</v>
      </c>
      <c r="G49">
        <v>63</v>
      </c>
      <c r="H49">
        <v>46</v>
      </c>
      <c r="I49">
        <v>32</v>
      </c>
      <c r="J49">
        <v>24</v>
      </c>
      <c r="K49">
        <v>21</v>
      </c>
      <c r="M49" s="9">
        <f>AVERAGE(G$7:G49)</f>
        <v>82.14285714285714</v>
      </c>
      <c r="N49" s="9">
        <f>AVERAGE(H$7:H49)</f>
        <v>71.11904761904762</v>
      </c>
      <c r="O49" s="9">
        <f>AVERAGE(I$7:I49)</f>
        <v>60.142857142857146</v>
      </c>
      <c r="P49" s="9">
        <f>AVERAGE(J$7:J49)</f>
        <v>48.595238095238095</v>
      </c>
      <c r="Q49" s="9">
        <f>AVERAGE(K$7:K49)</f>
        <v>36.5</v>
      </c>
      <c r="S49" s="9">
        <f t="shared" si="50"/>
        <v>82.14285714285714</v>
      </c>
      <c r="T49" s="6">
        <f t="shared" si="51"/>
        <v>0.8657971014492755</v>
      </c>
      <c r="U49" s="6">
        <f t="shared" si="52"/>
        <v>0.7321739130434783</v>
      </c>
      <c r="V49" s="6">
        <f t="shared" si="53"/>
        <v>0.5915942028985508</v>
      </c>
      <c r="W49" s="6">
        <f t="shared" si="54"/>
        <v>0.44434782608695655</v>
      </c>
      <c r="Y49" s="24">
        <f t="shared" si="66"/>
        <v>72.4</v>
      </c>
      <c r="Z49" s="24">
        <f t="shared" si="67"/>
        <v>58.5</v>
      </c>
      <c r="AA49" s="24">
        <f t="shared" si="68"/>
        <v>45</v>
      </c>
      <c r="AB49" s="24">
        <f t="shared" si="69"/>
        <v>32.3</v>
      </c>
      <c r="AC49" s="24">
        <f t="shared" si="70"/>
        <v>22.2</v>
      </c>
      <c r="AE49" s="6">
        <f t="shared" si="55"/>
        <v>0.34</v>
      </c>
      <c r="AF49" s="6">
        <f t="shared" si="56"/>
        <v>0.7142857142857143</v>
      </c>
      <c r="AG49" s="6">
        <f t="shared" si="57"/>
        <v>0.5723809523809524</v>
      </c>
      <c r="AH49" s="6">
        <f>AVERAGE(AF$7:AF49)</f>
        <v>0.6054817275747508</v>
      </c>
      <c r="AI49" s="9">
        <f t="shared" si="58"/>
        <v>20</v>
      </c>
      <c r="AJ49">
        <v>8</v>
      </c>
      <c r="AL49">
        <f t="shared" si="59"/>
        <v>43</v>
      </c>
      <c r="AM49">
        <f t="shared" si="60"/>
        <v>34</v>
      </c>
      <c r="AN49" s="9">
        <f t="shared" si="61"/>
        <v>77.41935483870968</v>
      </c>
      <c r="AO49" s="24">
        <f t="shared" si="62"/>
        <v>57.23809523809524</v>
      </c>
      <c r="AP49" s="24">
        <f>AVERAGE(AN$7:AN49)</f>
        <v>71.56789197299324</v>
      </c>
      <c r="AQ49">
        <f t="shared" si="63"/>
        <v>24</v>
      </c>
      <c r="AR49">
        <v>7</v>
      </c>
      <c r="AS49" s="24">
        <f t="shared" si="64"/>
        <v>43</v>
      </c>
      <c r="AT49" s="24">
        <f t="shared" si="71"/>
        <v>71.57159251230304</v>
      </c>
    </row>
    <row r="50" spans="1:46" ht="12">
      <c r="A50">
        <v>44</v>
      </c>
      <c r="B50">
        <v>57</v>
      </c>
      <c r="C50" s="9">
        <f t="shared" si="72"/>
        <v>49.5</v>
      </c>
      <c r="D50" s="24">
        <f>AVERAGE(B$7:B50)</f>
        <v>57.23255813953488</v>
      </c>
      <c r="E50" s="24">
        <f t="shared" si="65"/>
        <v>43</v>
      </c>
      <c r="G50">
        <v>84</v>
      </c>
      <c r="H50">
        <v>74</v>
      </c>
      <c r="I50">
        <v>62</v>
      </c>
      <c r="J50">
        <v>48</v>
      </c>
      <c r="K50">
        <v>30</v>
      </c>
      <c r="M50" s="9">
        <f>AVERAGE(G$7:G50)</f>
        <v>82.18604651162791</v>
      </c>
      <c r="N50" s="9">
        <f>AVERAGE(H$7:H50)</f>
        <v>71.18604651162791</v>
      </c>
      <c r="O50" s="9">
        <f>AVERAGE(I$7:I50)</f>
        <v>60.18604651162791</v>
      </c>
      <c r="P50" s="9">
        <f>AVERAGE(J$7:J50)</f>
        <v>48.58139534883721</v>
      </c>
      <c r="Q50" s="9">
        <f>AVERAGE(K$7:K50)</f>
        <v>36.348837209302324</v>
      </c>
      <c r="S50" s="9">
        <f t="shared" si="50"/>
        <v>82.18604651162791</v>
      </c>
      <c r="T50" s="6">
        <f t="shared" si="51"/>
        <v>0.8661573288058857</v>
      </c>
      <c r="U50" s="6">
        <f t="shared" si="52"/>
        <v>0.7323146576117714</v>
      </c>
      <c r="V50" s="6">
        <f t="shared" si="53"/>
        <v>0.591114883984154</v>
      </c>
      <c r="W50" s="6">
        <f t="shared" si="54"/>
        <v>0.44227504244482174</v>
      </c>
      <c r="Y50" s="24">
        <f t="shared" si="66"/>
        <v>72.4</v>
      </c>
      <c r="Z50" s="24">
        <f t="shared" si="67"/>
        <v>58.5</v>
      </c>
      <c r="AA50" s="24">
        <f t="shared" si="68"/>
        <v>45</v>
      </c>
      <c r="AB50" s="24">
        <f t="shared" si="69"/>
        <v>32.3</v>
      </c>
      <c r="AC50" s="24">
        <f t="shared" si="70"/>
        <v>22.2</v>
      </c>
      <c r="AE50" s="6">
        <f t="shared" si="55"/>
        <v>0.5700000000000001</v>
      </c>
      <c r="AF50" s="6">
        <f t="shared" si="56"/>
        <v>0.14285714285714285</v>
      </c>
      <c r="AG50" s="6">
        <f t="shared" si="57"/>
        <v>0.5723255813953488</v>
      </c>
      <c r="AH50" s="6">
        <f>AVERAGE(AF$7:AF50)</f>
        <v>0.5949675324675324</v>
      </c>
      <c r="AI50" s="9">
        <f t="shared" si="58"/>
        <v>4</v>
      </c>
      <c r="AJ50">
        <v>24</v>
      </c>
      <c r="AL50">
        <f t="shared" si="59"/>
        <v>44</v>
      </c>
      <c r="AM50">
        <f t="shared" si="60"/>
        <v>57</v>
      </c>
      <c r="AN50" s="9">
        <f t="shared" si="61"/>
        <v>54.83870967741935</v>
      </c>
      <c r="AO50" s="24">
        <f t="shared" si="62"/>
        <v>57.23255813953488</v>
      </c>
      <c r="AP50" s="24">
        <f>AVERAGE(AN$7:AN50)</f>
        <v>71.18768328445748</v>
      </c>
      <c r="AQ50">
        <f t="shared" si="63"/>
        <v>17</v>
      </c>
      <c r="AR50">
        <v>14</v>
      </c>
      <c r="AS50" s="24">
        <f t="shared" si="64"/>
        <v>43</v>
      </c>
      <c r="AT50" s="24">
        <f t="shared" si="71"/>
        <v>71.57159251230304</v>
      </c>
    </row>
    <row r="51" spans="1:46" ht="12">
      <c r="A51">
        <v>45</v>
      </c>
      <c r="B51">
        <v>46</v>
      </c>
      <c r="C51" s="9">
        <f t="shared" si="72"/>
        <v>48.6</v>
      </c>
      <c r="D51" s="24">
        <f>AVERAGE(B$7:B51)</f>
        <v>56.97727272727273</v>
      </c>
      <c r="E51" s="24">
        <f t="shared" si="65"/>
        <v>43</v>
      </c>
      <c r="G51">
        <v>77</v>
      </c>
      <c r="H51">
        <v>60</v>
      </c>
      <c r="I51">
        <v>47</v>
      </c>
      <c r="J51">
        <v>35</v>
      </c>
      <c r="K51">
        <v>27</v>
      </c>
      <c r="M51" s="9">
        <f>AVERAGE(G$7:G51)</f>
        <v>82.06818181818181</v>
      </c>
      <c r="N51" s="9">
        <f>AVERAGE(H$7:H51)</f>
        <v>70.93181818181819</v>
      </c>
      <c r="O51" s="9">
        <f>AVERAGE(I$7:I51)</f>
        <v>59.88636363636363</v>
      </c>
      <c r="P51" s="9">
        <f>AVERAGE(J$7:J51)</f>
        <v>48.27272727272727</v>
      </c>
      <c r="Q51" s="9">
        <f>AVERAGE(K$7:K51)</f>
        <v>36.13636363636363</v>
      </c>
      <c r="S51" s="9">
        <f t="shared" si="50"/>
        <v>82.06818181818181</v>
      </c>
      <c r="T51" s="6">
        <f t="shared" si="51"/>
        <v>0.8643035170312934</v>
      </c>
      <c r="U51" s="6">
        <f t="shared" si="52"/>
        <v>0.7297147604541678</v>
      </c>
      <c r="V51" s="6">
        <f t="shared" si="53"/>
        <v>0.5882027139296594</v>
      </c>
      <c r="W51" s="6">
        <f t="shared" si="54"/>
        <v>0.44032124065355854</v>
      </c>
      <c r="Y51" s="24">
        <f t="shared" si="66"/>
        <v>72.4</v>
      </c>
      <c r="Z51" s="24">
        <f t="shared" si="67"/>
        <v>58.5</v>
      </c>
      <c r="AA51" s="24">
        <f t="shared" si="68"/>
        <v>45</v>
      </c>
      <c r="AB51" s="24">
        <f t="shared" si="69"/>
        <v>32.3</v>
      </c>
      <c r="AC51" s="24">
        <f t="shared" si="70"/>
        <v>22.2</v>
      </c>
      <c r="AE51" s="6">
        <f t="shared" si="55"/>
        <v>0.46</v>
      </c>
      <c r="AF51" s="6">
        <f t="shared" si="56"/>
        <v>0.39285714285714285</v>
      </c>
      <c r="AG51" s="6">
        <f t="shared" si="57"/>
        <v>0.5697727272727273</v>
      </c>
      <c r="AH51" s="6">
        <f>AVERAGE(AF$7:AF51)</f>
        <v>0.5904761904761904</v>
      </c>
      <c r="AI51" s="9">
        <f t="shared" si="58"/>
        <v>11</v>
      </c>
      <c r="AJ51">
        <v>17</v>
      </c>
      <c r="AL51">
        <f t="shared" si="59"/>
        <v>45</v>
      </c>
      <c r="AM51">
        <f t="shared" si="60"/>
        <v>46</v>
      </c>
      <c r="AN51" s="9">
        <f t="shared" si="61"/>
        <v>100</v>
      </c>
      <c r="AO51" s="24">
        <f t="shared" si="62"/>
        <v>56.97727272727273</v>
      </c>
      <c r="AP51" s="24">
        <f>AVERAGE(AN$7:AN51)</f>
        <v>71.82795698924731</v>
      </c>
      <c r="AQ51">
        <f t="shared" si="63"/>
        <v>31</v>
      </c>
      <c r="AR51">
        <v>0</v>
      </c>
      <c r="AS51" s="24">
        <f t="shared" si="64"/>
        <v>43</v>
      </c>
      <c r="AT51" s="24">
        <f t="shared" si="71"/>
        <v>71.57159251230304</v>
      </c>
    </row>
    <row r="52" spans="1:46" ht="12">
      <c r="A52">
        <v>46</v>
      </c>
      <c r="B52">
        <v>61</v>
      </c>
      <c r="C52" s="9">
        <f t="shared" si="72"/>
        <v>48.6</v>
      </c>
      <c r="D52" s="24">
        <f>AVERAGE(B$7:B52)</f>
        <v>57.06666666666667</v>
      </c>
      <c r="E52" s="24">
        <f t="shared" si="65"/>
        <v>43</v>
      </c>
      <c r="G52">
        <v>95</v>
      </c>
      <c r="H52">
        <v>86</v>
      </c>
      <c r="I52">
        <v>70</v>
      </c>
      <c r="J52">
        <v>45</v>
      </c>
      <c r="K52">
        <v>25</v>
      </c>
      <c r="M52" s="9">
        <f>AVERAGE(G$7:G52)</f>
        <v>82.35555555555555</v>
      </c>
      <c r="N52" s="9">
        <f>AVERAGE(H$7:H52)</f>
        <v>71.26666666666667</v>
      </c>
      <c r="O52" s="9">
        <f>AVERAGE(I$7:I52)</f>
        <v>60.111111111111114</v>
      </c>
      <c r="P52" s="9">
        <f>AVERAGE(J$7:J52)</f>
        <v>48.2</v>
      </c>
      <c r="Q52" s="9">
        <f>AVERAGE(K$7:K52)</f>
        <v>35.888888888888886</v>
      </c>
      <c r="S52" s="9">
        <f t="shared" si="50"/>
        <v>82.35555555555555</v>
      </c>
      <c r="T52" s="6">
        <f t="shared" si="51"/>
        <v>0.865353480841878</v>
      </c>
      <c r="U52" s="6">
        <f t="shared" si="52"/>
        <v>0.729897463572585</v>
      </c>
      <c r="V52" s="6">
        <f t="shared" si="53"/>
        <v>0.5852671343766865</v>
      </c>
      <c r="W52" s="6">
        <f t="shared" si="54"/>
        <v>0.4357798165137614</v>
      </c>
      <c r="Y52" s="24">
        <f t="shared" si="66"/>
        <v>72.4</v>
      </c>
      <c r="Z52" s="24">
        <f t="shared" si="67"/>
        <v>58.5</v>
      </c>
      <c r="AA52" s="24">
        <f t="shared" si="68"/>
        <v>45</v>
      </c>
      <c r="AB52" s="24">
        <f t="shared" si="69"/>
        <v>32.3</v>
      </c>
      <c r="AC52" s="24">
        <f t="shared" si="70"/>
        <v>22.2</v>
      </c>
      <c r="AE52" s="6">
        <f t="shared" si="55"/>
        <v>0.61</v>
      </c>
      <c r="AF52" s="6">
        <f t="shared" si="56"/>
        <v>0.8214285714285714</v>
      </c>
      <c r="AG52" s="6">
        <f t="shared" si="57"/>
        <v>0.5706666666666668</v>
      </c>
      <c r="AH52" s="6">
        <f>AVERAGE(AF$7:AF52)</f>
        <v>0.5954968944099379</v>
      </c>
      <c r="AI52" s="9">
        <f t="shared" si="58"/>
        <v>23</v>
      </c>
      <c r="AJ52">
        <v>5</v>
      </c>
      <c r="AL52">
        <f t="shared" si="59"/>
        <v>46</v>
      </c>
      <c r="AM52">
        <f t="shared" si="60"/>
        <v>61</v>
      </c>
      <c r="AN52" s="9">
        <f t="shared" si="61"/>
        <v>96.7741935483871</v>
      </c>
      <c r="AO52" s="24">
        <f t="shared" si="62"/>
        <v>57.06666666666667</v>
      </c>
      <c r="AP52" s="24">
        <f>AVERAGE(AN$7:AN52)</f>
        <v>72.3702664796634</v>
      </c>
      <c r="AQ52">
        <f t="shared" si="63"/>
        <v>30</v>
      </c>
      <c r="AR52">
        <v>1</v>
      </c>
      <c r="AS52" s="24">
        <f t="shared" si="64"/>
        <v>43</v>
      </c>
      <c r="AT52" s="24">
        <f t="shared" si="71"/>
        <v>71.57159251230304</v>
      </c>
    </row>
    <row r="53" spans="1:46" ht="12">
      <c r="A53">
        <v>47</v>
      </c>
      <c r="B53">
        <v>40</v>
      </c>
      <c r="C53" s="9">
        <f t="shared" si="72"/>
        <v>49.6</v>
      </c>
      <c r="D53" s="24">
        <f>AVERAGE(B$7:B53)</f>
        <v>56.69565217391305</v>
      </c>
      <c r="E53" s="24">
        <f t="shared" si="65"/>
        <v>43</v>
      </c>
      <c r="G53">
        <v>73</v>
      </c>
      <c r="H53">
        <v>56</v>
      </c>
      <c r="I53">
        <v>40</v>
      </c>
      <c r="J53">
        <v>31</v>
      </c>
      <c r="K53">
        <v>20</v>
      </c>
      <c r="M53" s="9">
        <f>AVERAGE(G$7:G53)</f>
        <v>82.15217391304348</v>
      </c>
      <c r="N53" s="9">
        <f>AVERAGE(H$7:H53)</f>
        <v>70.93478260869566</v>
      </c>
      <c r="O53" s="9">
        <f>AVERAGE(I$7:I53)</f>
        <v>59.67391304347826</v>
      </c>
      <c r="P53" s="9">
        <f>AVERAGE(J$7:J53)</f>
        <v>47.82608695652174</v>
      </c>
      <c r="Q53" s="9">
        <f>AVERAGE(K$7:K53)</f>
        <v>35.54347826086956</v>
      </c>
      <c r="S53" s="9">
        <f t="shared" si="50"/>
        <v>82.15217391304348</v>
      </c>
      <c r="T53" s="6">
        <f t="shared" si="51"/>
        <v>0.8634559407250595</v>
      </c>
      <c r="U53" s="6">
        <f t="shared" si="52"/>
        <v>0.7263826409102937</v>
      </c>
      <c r="V53" s="6">
        <f t="shared" si="53"/>
        <v>0.5821645938078857</v>
      </c>
      <c r="W53" s="6">
        <f t="shared" si="54"/>
        <v>0.43265414130722407</v>
      </c>
      <c r="Y53" s="24">
        <f t="shared" si="66"/>
        <v>72.4</v>
      </c>
      <c r="Z53" s="24">
        <f t="shared" si="67"/>
        <v>58.5</v>
      </c>
      <c r="AA53" s="24">
        <f t="shared" si="68"/>
        <v>45</v>
      </c>
      <c r="AB53" s="24">
        <f t="shared" si="69"/>
        <v>32.3</v>
      </c>
      <c r="AC53" s="24">
        <f t="shared" si="70"/>
        <v>22.2</v>
      </c>
      <c r="AE53" s="6">
        <f t="shared" si="55"/>
        <v>0.4</v>
      </c>
      <c r="AF53" s="6">
        <f t="shared" si="56"/>
        <v>0.7142857142857143</v>
      </c>
      <c r="AG53" s="6">
        <f t="shared" si="57"/>
        <v>0.5669565217391305</v>
      </c>
      <c r="AH53" s="6">
        <f>AVERAGE(AF$7:AF53)</f>
        <v>0.5980243161094225</v>
      </c>
      <c r="AI53" s="9">
        <f t="shared" si="58"/>
        <v>20</v>
      </c>
      <c r="AJ53">
        <v>8</v>
      </c>
      <c r="AL53">
        <f t="shared" si="59"/>
        <v>47</v>
      </c>
      <c r="AM53">
        <f t="shared" si="60"/>
        <v>40</v>
      </c>
      <c r="AN53" s="9">
        <f t="shared" si="61"/>
        <v>51.61290322580645</v>
      </c>
      <c r="AO53" s="24">
        <f t="shared" si="62"/>
        <v>56.69565217391305</v>
      </c>
      <c r="AP53" s="24">
        <f>AVERAGE(AN$7:AN53)</f>
        <v>71.92862045298558</v>
      </c>
      <c r="AQ53">
        <f t="shared" si="63"/>
        <v>16</v>
      </c>
      <c r="AR53">
        <v>15</v>
      </c>
      <c r="AS53" s="24">
        <f t="shared" si="64"/>
        <v>43</v>
      </c>
      <c r="AT53" s="24">
        <f t="shared" si="71"/>
        <v>71.57159251230304</v>
      </c>
    </row>
    <row r="54" spans="1:46" ht="12">
      <c r="A54">
        <v>48</v>
      </c>
      <c r="B54">
        <v>43</v>
      </c>
      <c r="C54" s="9">
        <f t="shared" si="72"/>
        <v>49.1</v>
      </c>
      <c r="D54" s="24">
        <f>AVERAGE(B$7:B54)</f>
        <v>56.40425531914894</v>
      </c>
      <c r="E54" s="24">
        <f t="shared" si="65"/>
        <v>43</v>
      </c>
      <c r="G54">
        <v>82</v>
      </c>
      <c r="H54">
        <v>65</v>
      </c>
      <c r="I54">
        <v>45</v>
      </c>
      <c r="J54">
        <v>26</v>
      </c>
      <c r="K54">
        <v>17</v>
      </c>
      <c r="M54" s="9">
        <f>AVERAGE(G$7:G54)</f>
        <v>82.14893617021276</v>
      </c>
      <c r="N54" s="9">
        <f>AVERAGE(H$7:H54)</f>
        <v>70.80851063829788</v>
      </c>
      <c r="O54" s="9">
        <f>AVERAGE(I$7:I54)</f>
        <v>59.361702127659576</v>
      </c>
      <c r="P54" s="9">
        <f>AVERAGE(J$7:J54)</f>
        <v>47.361702127659576</v>
      </c>
      <c r="Q54" s="9">
        <f>AVERAGE(K$7:K54)</f>
        <v>35.148936170212764</v>
      </c>
      <c r="S54" s="9">
        <f t="shared" si="50"/>
        <v>82.14893617021276</v>
      </c>
      <c r="T54" s="6">
        <f t="shared" si="51"/>
        <v>0.861952861952862</v>
      </c>
      <c r="U54" s="6">
        <f t="shared" si="52"/>
        <v>0.7226107226107227</v>
      </c>
      <c r="V54" s="6">
        <f t="shared" si="53"/>
        <v>0.5765345765345766</v>
      </c>
      <c r="W54" s="6">
        <f t="shared" si="54"/>
        <v>0.4278684278684279</v>
      </c>
      <c r="Y54" s="24">
        <f t="shared" si="66"/>
        <v>72.4</v>
      </c>
      <c r="Z54" s="24">
        <f t="shared" si="67"/>
        <v>58.5</v>
      </c>
      <c r="AA54" s="24">
        <f t="shared" si="68"/>
        <v>45</v>
      </c>
      <c r="AB54" s="24">
        <f t="shared" si="69"/>
        <v>32.3</v>
      </c>
      <c r="AC54" s="24">
        <f t="shared" si="70"/>
        <v>22.2</v>
      </c>
      <c r="AE54" s="6">
        <f t="shared" si="55"/>
        <v>0.43</v>
      </c>
      <c r="AF54" s="6">
        <f t="shared" si="56"/>
        <v>0.8571428571428571</v>
      </c>
      <c r="AG54" s="6">
        <f t="shared" si="57"/>
        <v>0.5640425531914894</v>
      </c>
      <c r="AH54" s="6">
        <f>AVERAGE(AF$7:AF54)</f>
        <v>0.6034226190476191</v>
      </c>
      <c r="AI54" s="9">
        <f t="shared" si="58"/>
        <v>24</v>
      </c>
      <c r="AJ54">
        <v>4</v>
      </c>
      <c r="AL54">
        <f t="shared" si="59"/>
        <v>48</v>
      </c>
      <c r="AM54">
        <f t="shared" si="60"/>
        <v>43</v>
      </c>
      <c r="AN54" s="9">
        <f t="shared" si="61"/>
        <v>48.38709677419355</v>
      </c>
      <c r="AO54" s="24">
        <f t="shared" si="62"/>
        <v>56.40425531914894</v>
      </c>
      <c r="AP54" s="24">
        <f>AVERAGE(AN$7:AN54)</f>
        <v>71.43817204301075</v>
      </c>
      <c r="AQ54">
        <f t="shared" si="63"/>
        <v>15</v>
      </c>
      <c r="AR54">
        <v>16</v>
      </c>
      <c r="AS54" s="24">
        <f t="shared" si="64"/>
        <v>43</v>
      </c>
      <c r="AT54" s="24">
        <f t="shared" si="71"/>
        <v>71.57159251230304</v>
      </c>
    </row>
    <row r="55" spans="1:46" ht="12">
      <c r="A55">
        <v>49</v>
      </c>
      <c r="B55">
        <v>28</v>
      </c>
      <c r="C55" s="9">
        <f t="shared" si="72"/>
        <v>46.6</v>
      </c>
      <c r="D55" s="24">
        <f>AVERAGE(B$7:B55)</f>
        <v>55.8125</v>
      </c>
      <c r="E55" s="24">
        <f t="shared" si="65"/>
        <v>43</v>
      </c>
      <c r="G55">
        <v>61</v>
      </c>
      <c r="H55">
        <v>47</v>
      </c>
      <c r="I55">
        <v>29</v>
      </c>
      <c r="J55">
        <v>14</v>
      </c>
      <c r="K55">
        <v>8</v>
      </c>
      <c r="M55" s="9">
        <f>AVERAGE(G$7:G55)</f>
        <v>81.70833333333333</v>
      </c>
      <c r="N55" s="9">
        <f>AVERAGE(H$7:H55)</f>
        <v>70.3125</v>
      </c>
      <c r="O55" s="9">
        <f>AVERAGE(I$7:I55)</f>
        <v>58.729166666666664</v>
      </c>
      <c r="P55" s="9">
        <f>AVERAGE(J$7:J55)</f>
        <v>46.666666666666664</v>
      </c>
      <c r="Q55" s="9">
        <f>AVERAGE(K$7:K55)</f>
        <v>34.583333333333336</v>
      </c>
      <c r="S55" s="9">
        <f t="shared" si="50"/>
        <v>81.70833333333333</v>
      </c>
      <c r="T55" s="6">
        <f t="shared" si="51"/>
        <v>0.8605303416624172</v>
      </c>
      <c r="U55" s="6">
        <f t="shared" si="52"/>
        <v>0.7187659357470678</v>
      </c>
      <c r="V55" s="6">
        <f t="shared" si="53"/>
        <v>0.5711371749107598</v>
      </c>
      <c r="W55" s="6">
        <f t="shared" si="54"/>
        <v>0.42325344212136673</v>
      </c>
      <c r="Y55" s="24">
        <f t="shared" si="66"/>
        <v>72.4</v>
      </c>
      <c r="Z55" s="24">
        <f t="shared" si="67"/>
        <v>58.5</v>
      </c>
      <c r="AA55" s="24">
        <f t="shared" si="68"/>
        <v>45</v>
      </c>
      <c r="AB55" s="24">
        <f t="shared" si="69"/>
        <v>32.3</v>
      </c>
      <c r="AC55" s="24">
        <f t="shared" si="70"/>
        <v>22.2</v>
      </c>
      <c r="AE55" s="6">
        <f t="shared" si="55"/>
        <v>0.28</v>
      </c>
      <c r="AF55" s="6">
        <f t="shared" si="56"/>
        <v>0.25</v>
      </c>
      <c r="AG55" s="6">
        <f t="shared" si="57"/>
        <v>0.558125</v>
      </c>
      <c r="AH55" s="6">
        <f>AVERAGE(AF$7:AF55)</f>
        <v>0.5962099125364432</v>
      </c>
      <c r="AI55" s="9">
        <f t="shared" si="58"/>
        <v>7</v>
      </c>
      <c r="AJ55">
        <v>21</v>
      </c>
      <c r="AL55">
        <f t="shared" si="59"/>
        <v>49</v>
      </c>
      <c r="AM55">
        <f t="shared" si="60"/>
        <v>28</v>
      </c>
      <c r="AN55" s="9">
        <f t="shared" si="61"/>
        <v>90.32258064516128</v>
      </c>
      <c r="AO55" s="24">
        <f t="shared" si="62"/>
        <v>55.8125</v>
      </c>
      <c r="AP55" s="24">
        <f>AVERAGE(AN$7:AN55)</f>
        <v>71.8235681369322</v>
      </c>
      <c r="AQ55">
        <f t="shared" si="63"/>
        <v>28</v>
      </c>
      <c r="AR55">
        <v>3</v>
      </c>
      <c r="AS55" s="24">
        <f t="shared" si="64"/>
        <v>43</v>
      </c>
      <c r="AT55" s="24">
        <f t="shared" si="71"/>
        <v>71.57159251230304</v>
      </c>
    </row>
    <row r="56" spans="1:46" ht="12">
      <c r="A56">
        <v>50</v>
      </c>
      <c r="B56">
        <v>34</v>
      </c>
      <c r="C56" s="9">
        <f t="shared" si="72"/>
        <v>43</v>
      </c>
      <c r="D56" s="24">
        <f>AVERAGE(B$7:B56)</f>
        <v>55.36734693877551</v>
      </c>
      <c r="E56" s="24">
        <f t="shared" si="65"/>
        <v>43</v>
      </c>
      <c r="G56">
        <v>62</v>
      </c>
      <c r="H56">
        <v>44</v>
      </c>
      <c r="I56">
        <v>33</v>
      </c>
      <c r="J56">
        <v>26</v>
      </c>
      <c r="K56">
        <v>21</v>
      </c>
      <c r="M56" s="9">
        <f>AVERAGE(G$7:G56)</f>
        <v>81.3061224489796</v>
      </c>
      <c r="N56" s="9">
        <f>AVERAGE(H$7:H56)</f>
        <v>69.77551020408163</v>
      </c>
      <c r="O56" s="9">
        <f>AVERAGE(I$7:I56)</f>
        <v>58.204081632653065</v>
      </c>
      <c r="P56" s="9">
        <f>AVERAGE(J$7:J56)</f>
        <v>46.244897959183675</v>
      </c>
      <c r="Q56" s="9">
        <f>AVERAGE(K$7:K56)</f>
        <v>34.30612244897959</v>
      </c>
      <c r="S56" s="9">
        <f t="shared" si="50"/>
        <v>81.3061224489796</v>
      </c>
      <c r="T56" s="6">
        <f t="shared" si="51"/>
        <v>0.8581827309236947</v>
      </c>
      <c r="U56" s="6">
        <f t="shared" si="52"/>
        <v>0.7158634538152611</v>
      </c>
      <c r="V56" s="6">
        <f t="shared" si="53"/>
        <v>0.5687751004016064</v>
      </c>
      <c r="W56" s="6">
        <f t="shared" si="54"/>
        <v>0.4219377510040161</v>
      </c>
      <c r="Y56" s="24">
        <f t="shared" si="66"/>
        <v>72.4</v>
      </c>
      <c r="Z56" s="24">
        <f t="shared" si="67"/>
        <v>58.5</v>
      </c>
      <c r="AA56" s="24">
        <f t="shared" si="68"/>
        <v>45</v>
      </c>
      <c r="AB56" s="24">
        <f t="shared" si="69"/>
        <v>32.3</v>
      </c>
      <c r="AC56" s="24">
        <f t="shared" si="70"/>
        <v>22.2</v>
      </c>
      <c r="AE56" s="6">
        <f t="shared" si="55"/>
        <v>0.34</v>
      </c>
      <c r="AF56" s="6">
        <f t="shared" si="56"/>
        <v>0.9642857142857143</v>
      </c>
      <c r="AG56" s="6">
        <f t="shared" si="57"/>
        <v>0.5536734693877551</v>
      </c>
      <c r="AH56" s="6">
        <f>AVERAGE(AF$7:AF56)</f>
        <v>0.6035714285714286</v>
      </c>
      <c r="AI56" s="9">
        <f t="shared" si="58"/>
        <v>27</v>
      </c>
      <c r="AJ56">
        <v>1</v>
      </c>
      <c r="AL56">
        <f t="shared" si="59"/>
        <v>50</v>
      </c>
      <c r="AM56">
        <f t="shared" si="60"/>
        <v>34</v>
      </c>
      <c r="AN56" s="9">
        <f t="shared" si="61"/>
        <v>35.483870967741936</v>
      </c>
      <c r="AO56" s="24">
        <f t="shared" si="62"/>
        <v>55.36734693877551</v>
      </c>
      <c r="AP56" s="24">
        <f>AVERAGE(AN$7:AN56)</f>
        <v>71.09677419354838</v>
      </c>
      <c r="AQ56">
        <f t="shared" si="63"/>
        <v>11</v>
      </c>
      <c r="AR56">
        <v>20</v>
      </c>
      <c r="AS56" s="24">
        <f t="shared" si="64"/>
        <v>43</v>
      </c>
      <c r="AT56" s="24">
        <f t="shared" si="71"/>
        <v>71.57159251230304</v>
      </c>
    </row>
    <row r="57" spans="1:46" ht="12">
      <c r="A57">
        <v>51</v>
      </c>
      <c r="B57">
        <v>52</v>
      </c>
      <c r="C57" s="9">
        <f t="shared" si="72"/>
        <v>42.5</v>
      </c>
      <c r="D57" s="24">
        <f>AVERAGE(B$7:B57)</f>
        <v>55.3</v>
      </c>
      <c r="E57" s="24">
        <f aca="true" t="shared" si="73" ref="E57:E66">AVERAGE(B$57:B$66)</f>
        <v>40.4</v>
      </c>
      <c r="G57">
        <v>83</v>
      </c>
      <c r="H57">
        <v>71</v>
      </c>
      <c r="I57">
        <v>56</v>
      </c>
      <c r="J57">
        <v>39</v>
      </c>
      <c r="K57">
        <v>25</v>
      </c>
      <c r="M57" s="9">
        <f>AVERAGE(G$7:G57)</f>
        <v>81.34</v>
      </c>
      <c r="N57" s="9">
        <f>AVERAGE(H$7:H57)</f>
        <v>69.8</v>
      </c>
      <c r="O57" s="9">
        <f>AVERAGE(I$7:I57)</f>
        <v>58.16</v>
      </c>
      <c r="P57" s="9">
        <f>AVERAGE(J$7:J57)</f>
        <v>46.1</v>
      </c>
      <c r="Q57" s="9">
        <f>AVERAGE(K$7:K57)</f>
        <v>34.12</v>
      </c>
      <c r="S57" s="9">
        <f t="shared" si="50"/>
        <v>81.34</v>
      </c>
      <c r="T57" s="6">
        <f t="shared" si="51"/>
        <v>0.8581263830833538</v>
      </c>
      <c r="U57" s="6">
        <f t="shared" si="52"/>
        <v>0.7150233587410867</v>
      </c>
      <c r="V57" s="6">
        <f t="shared" si="53"/>
        <v>0.5667568232112122</v>
      </c>
      <c r="W57" s="6">
        <f t="shared" si="54"/>
        <v>0.4194738136218342</v>
      </c>
      <c r="Y57" s="24">
        <f aca="true" t="shared" si="74" ref="Y57:Y66">AVERAGE(G$57:G$66)</f>
        <v>71</v>
      </c>
      <c r="Z57" s="24">
        <f aca="true" t="shared" si="75" ref="Z57:Z66">AVERAGE(H$57:H$66)</f>
        <v>56.4</v>
      </c>
      <c r="AA57" s="24">
        <f aca="true" t="shared" si="76" ref="AA57:AA66">AVERAGE(I$57:I$66)</f>
        <v>41.8</v>
      </c>
      <c r="AB57" s="24">
        <f aca="true" t="shared" si="77" ref="AB57:AB66">AVERAGE(J$57:J$66)</f>
        <v>27.8</v>
      </c>
      <c r="AC57" s="24">
        <f aca="true" t="shared" si="78" ref="AC57:AC66">AVERAGE(K$57:K$66)</f>
        <v>17</v>
      </c>
      <c r="AE57" s="6">
        <f t="shared" si="55"/>
        <v>0.52</v>
      </c>
      <c r="AF57" s="6">
        <f t="shared" si="56"/>
        <v>0.7857142857142857</v>
      </c>
      <c r="AG57" s="6">
        <f t="shared" si="57"/>
        <v>0.5529999999999999</v>
      </c>
      <c r="AH57" s="6">
        <f>AVERAGE(AF$7:AF57)</f>
        <v>0.6071428571428572</v>
      </c>
      <c r="AI57" s="9">
        <f t="shared" si="58"/>
        <v>22</v>
      </c>
      <c r="AJ57">
        <v>6</v>
      </c>
      <c r="AL57">
        <f t="shared" si="59"/>
        <v>51</v>
      </c>
      <c r="AM57">
        <f t="shared" si="60"/>
        <v>52</v>
      </c>
      <c r="AN57" s="9">
        <f t="shared" si="61"/>
        <v>54.83870967741935</v>
      </c>
      <c r="AO57" s="24">
        <f t="shared" si="62"/>
        <v>55.3</v>
      </c>
      <c r="AP57" s="24">
        <f>AVERAGE(AN$7:AN57)</f>
        <v>70.77798861480076</v>
      </c>
      <c r="AQ57">
        <f t="shared" si="63"/>
        <v>17</v>
      </c>
      <c r="AR57">
        <v>14</v>
      </c>
      <c r="AS57" s="24">
        <f t="shared" si="64"/>
        <v>40.4</v>
      </c>
      <c r="AT57" s="24">
        <f aca="true" t="shared" si="79" ref="AT57:AT66">AVERAGE(AP$57:AP$66)</f>
        <v>70.83396609922833</v>
      </c>
    </row>
    <row r="58" spans="1:46" ht="12">
      <c r="A58">
        <v>52</v>
      </c>
      <c r="B58">
        <v>43</v>
      </c>
      <c r="C58" s="9">
        <f t="shared" si="72"/>
        <v>43.8</v>
      </c>
      <c r="D58" s="24">
        <f>AVERAGE(B$7:B58)</f>
        <v>55.05882352941177</v>
      </c>
      <c r="E58" s="24">
        <f t="shared" si="73"/>
        <v>40.4</v>
      </c>
      <c r="G58">
        <v>82</v>
      </c>
      <c r="H58">
        <v>65</v>
      </c>
      <c r="I58">
        <v>44</v>
      </c>
      <c r="J58">
        <v>28</v>
      </c>
      <c r="K58">
        <v>16</v>
      </c>
      <c r="M58" s="9">
        <f>AVERAGE(G$7:G58)</f>
        <v>81.3529411764706</v>
      </c>
      <c r="N58" s="9">
        <f>AVERAGE(H$7:H58)</f>
        <v>69.70588235294117</v>
      </c>
      <c r="O58" s="9">
        <f>AVERAGE(I$7:I58)</f>
        <v>57.88235294117647</v>
      </c>
      <c r="P58" s="9">
        <f>AVERAGE(J$7:J58)</f>
        <v>45.745098039215684</v>
      </c>
      <c r="Q58" s="9">
        <f>AVERAGE(K$7:K58)</f>
        <v>33.76470588235294</v>
      </c>
      <c r="S58" s="9">
        <f t="shared" si="50"/>
        <v>81.3529411764706</v>
      </c>
      <c r="T58" s="6">
        <f t="shared" si="51"/>
        <v>0.8568329718004337</v>
      </c>
      <c r="U58" s="6">
        <f t="shared" si="52"/>
        <v>0.7114967462039045</v>
      </c>
      <c r="V58" s="6">
        <f t="shared" si="53"/>
        <v>0.5623041696794407</v>
      </c>
      <c r="W58" s="6">
        <f t="shared" si="54"/>
        <v>0.4150397686189443</v>
      </c>
      <c r="Y58" s="24">
        <f t="shared" si="74"/>
        <v>71</v>
      </c>
      <c r="Z58" s="24">
        <f t="shared" si="75"/>
        <v>56.4</v>
      </c>
      <c r="AA58" s="24">
        <f t="shared" si="76"/>
        <v>41.8</v>
      </c>
      <c r="AB58" s="24">
        <f t="shared" si="77"/>
        <v>27.8</v>
      </c>
      <c r="AC58" s="24">
        <f t="shared" si="78"/>
        <v>17</v>
      </c>
      <c r="AE58" s="6">
        <f t="shared" si="55"/>
        <v>0.43</v>
      </c>
      <c r="AF58" s="6">
        <f t="shared" si="56"/>
        <v>0.6071428571428571</v>
      </c>
      <c r="AG58" s="6">
        <f t="shared" si="57"/>
        <v>0.5505882352941177</v>
      </c>
      <c r="AH58" s="6">
        <f>AVERAGE(AF$7:AF58)</f>
        <v>0.6071428571428572</v>
      </c>
      <c r="AI58" s="9">
        <f t="shared" si="58"/>
        <v>17</v>
      </c>
      <c r="AJ58">
        <v>11</v>
      </c>
      <c r="AL58">
        <f t="shared" si="59"/>
        <v>52</v>
      </c>
      <c r="AM58">
        <f t="shared" si="60"/>
        <v>43</v>
      </c>
      <c r="AN58" s="9">
        <f t="shared" si="61"/>
        <v>80.64516129032258</v>
      </c>
      <c r="AO58" s="24">
        <f t="shared" si="62"/>
        <v>55.05882352941177</v>
      </c>
      <c r="AP58" s="24">
        <f>AVERAGE(AN$7:AN58)</f>
        <v>70.96774193548387</v>
      </c>
      <c r="AQ58">
        <f t="shared" si="63"/>
        <v>25</v>
      </c>
      <c r="AR58">
        <v>6</v>
      </c>
      <c r="AS58" s="24">
        <f t="shared" si="64"/>
        <v>40.4</v>
      </c>
      <c r="AT58" s="24">
        <f t="shared" si="79"/>
        <v>70.83396609922833</v>
      </c>
    </row>
    <row r="59" spans="1:46" ht="12">
      <c r="A59">
        <v>53</v>
      </c>
      <c r="B59">
        <v>15</v>
      </c>
      <c r="C59" s="9">
        <f t="shared" si="72"/>
        <v>41.9</v>
      </c>
      <c r="D59" s="24">
        <f>AVERAGE(B$7:B59)</f>
        <v>54.28846153846154</v>
      </c>
      <c r="E59" s="24">
        <f t="shared" si="73"/>
        <v>40.4</v>
      </c>
      <c r="G59">
        <v>44</v>
      </c>
      <c r="H59">
        <v>24</v>
      </c>
      <c r="I59">
        <v>13</v>
      </c>
      <c r="J59">
        <v>7</v>
      </c>
      <c r="K59">
        <v>5</v>
      </c>
      <c r="M59" s="9">
        <f>AVERAGE(G$7:G59)</f>
        <v>80.63461538461539</v>
      </c>
      <c r="N59" s="9">
        <f>AVERAGE(H$7:H59)</f>
        <v>68.82692307692308</v>
      </c>
      <c r="O59" s="9">
        <f>AVERAGE(I$7:I59)</f>
        <v>57.01923076923077</v>
      </c>
      <c r="P59" s="9">
        <f>AVERAGE(J$7:J59)</f>
        <v>45</v>
      </c>
      <c r="Q59" s="9">
        <f>AVERAGE(K$7:K59)</f>
        <v>33.21153846153846</v>
      </c>
      <c r="S59" s="9">
        <f t="shared" si="50"/>
        <v>80.63461538461539</v>
      </c>
      <c r="T59" s="6">
        <f t="shared" si="51"/>
        <v>0.8535654662532793</v>
      </c>
      <c r="U59" s="6">
        <f t="shared" si="52"/>
        <v>0.7071309325065585</v>
      </c>
      <c r="V59" s="6">
        <f t="shared" si="53"/>
        <v>0.5580729787741474</v>
      </c>
      <c r="W59" s="6">
        <f t="shared" si="54"/>
        <v>0.4118769377533985</v>
      </c>
      <c r="Y59" s="24">
        <f t="shared" si="74"/>
        <v>71</v>
      </c>
      <c r="Z59" s="24">
        <f t="shared" si="75"/>
        <v>56.4</v>
      </c>
      <c r="AA59" s="24">
        <f t="shared" si="76"/>
        <v>41.8</v>
      </c>
      <c r="AB59" s="24">
        <f t="shared" si="77"/>
        <v>27.8</v>
      </c>
      <c r="AC59" s="24">
        <f t="shared" si="78"/>
        <v>17</v>
      </c>
      <c r="AE59" s="6">
        <f t="shared" si="55"/>
        <v>0.15</v>
      </c>
      <c r="AF59" s="6">
        <f t="shared" si="56"/>
        <v>0.9285714285714286</v>
      </c>
      <c r="AG59" s="6">
        <f t="shared" si="57"/>
        <v>0.5428846153846154</v>
      </c>
      <c r="AH59" s="6">
        <f>AVERAGE(AF$7:AF59)</f>
        <v>0.6132075471698113</v>
      </c>
      <c r="AI59" s="9">
        <f t="shared" si="58"/>
        <v>26</v>
      </c>
      <c r="AJ59">
        <v>2</v>
      </c>
      <c r="AL59">
        <f t="shared" si="59"/>
        <v>53</v>
      </c>
      <c r="AM59">
        <f t="shared" si="60"/>
        <v>15</v>
      </c>
      <c r="AN59" s="9">
        <f t="shared" si="61"/>
        <v>64.51612903225806</v>
      </c>
      <c r="AO59" s="24">
        <f t="shared" si="62"/>
        <v>54.28846153846154</v>
      </c>
      <c r="AP59" s="24">
        <f>AVERAGE(AN$7:AN59)</f>
        <v>70.84601339013999</v>
      </c>
      <c r="AQ59">
        <f t="shared" si="63"/>
        <v>20</v>
      </c>
      <c r="AR59">
        <v>11</v>
      </c>
      <c r="AS59" s="24">
        <f t="shared" si="64"/>
        <v>40.4</v>
      </c>
      <c r="AT59" s="24">
        <f t="shared" si="79"/>
        <v>70.83396609922833</v>
      </c>
    </row>
    <row r="60" spans="1:46" ht="12">
      <c r="A60">
        <v>54</v>
      </c>
      <c r="B60">
        <v>36</v>
      </c>
      <c r="C60" s="9">
        <f t="shared" si="72"/>
        <v>39.8</v>
      </c>
      <c r="D60" s="24">
        <f>AVERAGE(B$7:B60)</f>
        <v>53.943396226415096</v>
      </c>
      <c r="E60" s="24">
        <f t="shared" si="73"/>
        <v>40.4</v>
      </c>
      <c r="G60">
        <v>80</v>
      </c>
      <c r="H60">
        <v>59</v>
      </c>
      <c r="I60">
        <v>36</v>
      </c>
      <c r="J60">
        <v>19</v>
      </c>
      <c r="K60">
        <v>10</v>
      </c>
      <c r="M60" s="9">
        <f>AVERAGE(G$7:G60)</f>
        <v>80.62264150943396</v>
      </c>
      <c r="N60" s="9">
        <f>AVERAGE(H$7:H60)</f>
        <v>68.64150943396227</v>
      </c>
      <c r="O60" s="9">
        <f>AVERAGE(I$7:I60)</f>
        <v>56.62264150943396</v>
      </c>
      <c r="P60" s="9">
        <f>AVERAGE(J$7:J60)</f>
        <v>44.509433962264154</v>
      </c>
      <c r="Q60" s="9">
        <f>AVERAGE(K$7:K60)</f>
        <v>32.77358490566038</v>
      </c>
      <c r="S60" s="9">
        <f t="shared" si="50"/>
        <v>80.62264150943396</v>
      </c>
      <c r="T60" s="6">
        <f t="shared" si="51"/>
        <v>0.8513924643107887</v>
      </c>
      <c r="U60" s="6">
        <f t="shared" si="52"/>
        <v>0.7023168733910602</v>
      </c>
      <c r="V60" s="6">
        <f t="shared" si="53"/>
        <v>0.5520711443950387</v>
      </c>
      <c r="W60" s="6">
        <f t="shared" si="54"/>
        <v>0.4065059677041891</v>
      </c>
      <c r="Y60" s="24">
        <f t="shared" si="74"/>
        <v>71</v>
      </c>
      <c r="Z60" s="24">
        <f t="shared" si="75"/>
        <v>56.4</v>
      </c>
      <c r="AA60" s="24">
        <f t="shared" si="76"/>
        <v>41.8</v>
      </c>
      <c r="AB60" s="24">
        <f t="shared" si="77"/>
        <v>27.8</v>
      </c>
      <c r="AC60" s="24">
        <f t="shared" si="78"/>
        <v>17</v>
      </c>
      <c r="AE60" s="6">
        <f t="shared" si="55"/>
        <v>0.36</v>
      </c>
      <c r="AF60" s="6">
        <f t="shared" si="56"/>
        <v>0.35714285714285715</v>
      </c>
      <c r="AG60" s="6">
        <f t="shared" si="57"/>
        <v>0.539433962264151</v>
      </c>
      <c r="AH60" s="6">
        <f>AVERAGE(AF$7:AF60)</f>
        <v>0.6084656084656084</v>
      </c>
      <c r="AI60" s="9">
        <f t="shared" si="58"/>
        <v>10</v>
      </c>
      <c r="AJ60">
        <v>18</v>
      </c>
      <c r="AL60">
        <f t="shared" si="59"/>
        <v>54</v>
      </c>
      <c r="AM60">
        <f t="shared" si="60"/>
        <v>36</v>
      </c>
      <c r="AN60" s="9">
        <f t="shared" si="61"/>
        <v>80.64516129032258</v>
      </c>
      <c r="AO60" s="24">
        <f t="shared" si="62"/>
        <v>53.943396226415096</v>
      </c>
      <c r="AP60" s="24">
        <f>AVERAGE(AN$7:AN60)</f>
        <v>71.02747909199522</v>
      </c>
      <c r="AQ60">
        <f t="shared" si="63"/>
        <v>25</v>
      </c>
      <c r="AR60">
        <v>6</v>
      </c>
      <c r="AS60" s="24">
        <f t="shared" si="64"/>
        <v>40.4</v>
      </c>
      <c r="AT60" s="24">
        <f t="shared" si="79"/>
        <v>70.83396609922833</v>
      </c>
    </row>
    <row r="61" spans="1:46" ht="12">
      <c r="A61">
        <v>55</v>
      </c>
      <c r="B61">
        <v>12</v>
      </c>
      <c r="C61" s="9">
        <f t="shared" si="72"/>
        <v>36.4</v>
      </c>
      <c r="D61" s="24">
        <f>AVERAGE(B$7:B61)</f>
        <v>53.166666666666664</v>
      </c>
      <c r="E61" s="24">
        <f t="shared" si="73"/>
        <v>40.4</v>
      </c>
      <c r="G61">
        <v>29</v>
      </c>
      <c r="H61">
        <v>15</v>
      </c>
      <c r="I61">
        <v>11</v>
      </c>
      <c r="J61">
        <v>9</v>
      </c>
      <c r="K61">
        <v>8</v>
      </c>
      <c r="M61" s="9">
        <f>AVERAGE(G$7:G61)</f>
        <v>79.66666666666667</v>
      </c>
      <c r="N61" s="9">
        <f>AVERAGE(H$7:H61)</f>
        <v>67.64814814814815</v>
      </c>
      <c r="O61" s="9">
        <f>AVERAGE(I$7:I61)</f>
        <v>55.77777777777778</v>
      </c>
      <c r="P61" s="9">
        <f>AVERAGE(J$7:J61)</f>
        <v>43.851851851851855</v>
      </c>
      <c r="Q61" s="9">
        <f>AVERAGE(K$7:K61)</f>
        <v>32.31481481481482</v>
      </c>
      <c r="S61" s="9">
        <f t="shared" si="50"/>
        <v>79.66666666666667</v>
      </c>
      <c r="T61" s="6">
        <f t="shared" si="51"/>
        <v>0.8491399349139935</v>
      </c>
      <c r="U61" s="6">
        <f t="shared" si="52"/>
        <v>0.7001394700139469</v>
      </c>
      <c r="V61" s="6">
        <f t="shared" si="53"/>
        <v>0.5504416550441655</v>
      </c>
      <c r="W61" s="6">
        <f t="shared" si="54"/>
        <v>0.40562529056252905</v>
      </c>
      <c r="Y61" s="24">
        <f t="shared" si="74"/>
        <v>71</v>
      </c>
      <c r="Z61" s="24">
        <f t="shared" si="75"/>
        <v>56.4</v>
      </c>
      <c r="AA61" s="24">
        <f t="shared" si="76"/>
        <v>41.8</v>
      </c>
      <c r="AB61" s="24">
        <f t="shared" si="77"/>
        <v>27.8</v>
      </c>
      <c r="AC61" s="24">
        <f t="shared" si="78"/>
        <v>17</v>
      </c>
      <c r="AE61" s="6">
        <f t="shared" si="55"/>
        <v>0.12</v>
      </c>
      <c r="AF61" s="6">
        <f t="shared" si="56"/>
        <v>0.5357142857142857</v>
      </c>
      <c r="AG61" s="6">
        <f t="shared" si="57"/>
        <v>0.5316666666666666</v>
      </c>
      <c r="AH61" s="6">
        <f>AVERAGE(AF$7:AF61)</f>
        <v>0.6071428571428571</v>
      </c>
      <c r="AI61" s="9">
        <f t="shared" si="58"/>
        <v>15</v>
      </c>
      <c r="AJ61">
        <v>13</v>
      </c>
      <c r="AL61">
        <f t="shared" si="59"/>
        <v>55</v>
      </c>
      <c r="AM61">
        <f t="shared" si="60"/>
        <v>12</v>
      </c>
      <c r="AN61" s="9">
        <f t="shared" si="61"/>
        <v>41.935483870967744</v>
      </c>
      <c r="AO61" s="24">
        <f t="shared" si="62"/>
        <v>53.166666666666664</v>
      </c>
      <c r="AP61" s="24">
        <f>AVERAGE(AN$7:AN61)</f>
        <v>70.49853372434018</v>
      </c>
      <c r="AQ61">
        <f t="shared" si="63"/>
        <v>13</v>
      </c>
      <c r="AR61">
        <v>18</v>
      </c>
      <c r="AS61" s="24">
        <f t="shared" si="64"/>
        <v>40.4</v>
      </c>
      <c r="AT61" s="24">
        <f t="shared" si="79"/>
        <v>70.83396609922833</v>
      </c>
    </row>
    <row r="62" spans="1:46" ht="12">
      <c r="A62">
        <v>56</v>
      </c>
      <c r="B62">
        <v>56</v>
      </c>
      <c r="C62" s="9">
        <f t="shared" si="72"/>
        <v>35.9</v>
      </c>
      <c r="D62" s="24">
        <f>AVERAGE(B$7:B62)</f>
        <v>53.21818181818182</v>
      </c>
      <c r="E62" s="24">
        <f t="shared" si="73"/>
        <v>40.4</v>
      </c>
      <c r="G62">
        <v>86</v>
      </c>
      <c r="H62">
        <v>77</v>
      </c>
      <c r="I62">
        <v>63</v>
      </c>
      <c r="J62">
        <v>42</v>
      </c>
      <c r="K62">
        <v>23</v>
      </c>
      <c r="M62" s="9">
        <f>AVERAGE(G$7:G62)</f>
        <v>79.78181818181818</v>
      </c>
      <c r="N62" s="9">
        <f>AVERAGE(H$7:H62)</f>
        <v>67.81818181818181</v>
      </c>
      <c r="O62" s="9">
        <f>AVERAGE(I$7:I62)</f>
        <v>55.90909090909091</v>
      </c>
      <c r="P62" s="9">
        <f>AVERAGE(J$7:J62)</f>
        <v>43.81818181818182</v>
      </c>
      <c r="Q62" s="9">
        <f>AVERAGE(K$7:K62)</f>
        <v>32.14545454545455</v>
      </c>
      <c r="S62" s="9">
        <f t="shared" si="50"/>
        <v>79.78181818181818</v>
      </c>
      <c r="T62" s="6">
        <f t="shared" si="51"/>
        <v>0.8500455788514129</v>
      </c>
      <c r="U62" s="6">
        <f t="shared" si="52"/>
        <v>0.70077484047402</v>
      </c>
      <c r="V62" s="6">
        <f t="shared" si="53"/>
        <v>0.54922515952598</v>
      </c>
      <c r="W62" s="6">
        <f t="shared" si="54"/>
        <v>0.4029170464904285</v>
      </c>
      <c r="Y62" s="24">
        <f t="shared" si="74"/>
        <v>71</v>
      </c>
      <c r="Z62" s="24">
        <f t="shared" si="75"/>
        <v>56.4</v>
      </c>
      <c r="AA62" s="24">
        <f t="shared" si="76"/>
        <v>41.8</v>
      </c>
      <c r="AB62" s="24">
        <f t="shared" si="77"/>
        <v>27.8</v>
      </c>
      <c r="AC62" s="24">
        <f t="shared" si="78"/>
        <v>17</v>
      </c>
      <c r="AE62" s="6">
        <f t="shared" si="55"/>
        <v>0.56</v>
      </c>
      <c r="AF62" s="6">
        <f t="shared" si="56"/>
        <v>0.9642857142857143</v>
      </c>
      <c r="AG62" s="6">
        <f t="shared" si="57"/>
        <v>0.5321818181818182</v>
      </c>
      <c r="AH62" s="6">
        <f>AVERAGE(AF$7:AF62)</f>
        <v>0.6135204081632653</v>
      </c>
      <c r="AI62" s="9">
        <f t="shared" si="58"/>
        <v>27</v>
      </c>
      <c r="AJ62">
        <v>1</v>
      </c>
      <c r="AL62">
        <f t="shared" si="59"/>
        <v>56</v>
      </c>
      <c r="AM62">
        <f t="shared" si="60"/>
        <v>56</v>
      </c>
      <c r="AN62" s="9">
        <f t="shared" si="61"/>
        <v>90.32258064516128</v>
      </c>
      <c r="AO62" s="24">
        <f t="shared" si="62"/>
        <v>53.21818181818182</v>
      </c>
      <c r="AP62" s="24">
        <f>AVERAGE(AN$7:AN62)</f>
        <v>70.85253456221199</v>
      </c>
      <c r="AQ62">
        <f t="shared" si="63"/>
        <v>28</v>
      </c>
      <c r="AR62">
        <v>3</v>
      </c>
      <c r="AS62" s="24">
        <f t="shared" si="64"/>
        <v>40.4</v>
      </c>
      <c r="AT62" s="24">
        <f t="shared" si="79"/>
        <v>70.83396609922833</v>
      </c>
    </row>
    <row r="63" spans="1:46" ht="12">
      <c r="A63">
        <v>57</v>
      </c>
      <c r="B63">
        <v>36</v>
      </c>
      <c r="C63" s="9">
        <f t="shared" si="72"/>
        <v>35.5</v>
      </c>
      <c r="D63" s="24">
        <f>AVERAGE(B$7:B63)</f>
        <v>52.910714285714285</v>
      </c>
      <c r="E63" s="24">
        <f t="shared" si="73"/>
        <v>40.4</v>
      </c>
      <c r="G63">
        <v>72</v>
      </c>
      <c r="H63">
        <v>56</v>
      </c>
      <c r="I63">
        <v>39</v>
      </c>
      <c r="J63">
        <v>23</v>
      </c>
      <c r="K63">
        <v>12</v>
      </c>
      <c r="M63" s="9">
        <f>AVERAGE(G$7:G63)</f>
        <v>79.64285714285714</v>
      </c>
      <c r="N63" s="9">
        <f>AVERAGE(H$7:H63)</f>
        <v>67.60714285714286</v>
      </c>
      <c r="O63" s="9">
        <f>AVERAGE(I$7:I63)</f>
        <v>55.607142857142854</v>
      </c>
      <c r="P63" s="9">
        <f>AVERAGE(J$7:J63)</f>
        <v>43.44642857142857</v>
      </c>
      <c r="Q63" s="9">
        <f>AVERAGE(K$7:K63)</f>
        <v>31.785714285714285</v>
      </c>
      <c r="S63" s="9">
        <f t="shared" si="50"/>
        <v>79.64285714285714</v>
      </c>
      <c r="T63" s="6">
        <f t="shared" si="51"/>
        <v>0.8488789237668163</v>
      </c>
      <c r="U63" s="6">
        <f t="shared" si="52"/>
        <v>0.6982062780269058</v>
      </c>
      <c r="V63" s="6">
        <f t="shared" si="53"/>
        <v>0.5455156950672646</v>
      </c>
      <c r="W63" s="6">
        <f t="shared" si="54"/>
        <v>0.3991031390134529</v>
      </c>
      <c r="Y63" s="24">
        <f t="shared" si="74"/>
        <v>71</v>
      </c>
      <c r="Z63" s="24">
        <f t="shared" si="75"/>
        <v>56.4</v>
      </c>
      <c r="AA63" s="24">
        <f t="shared" si="76"/>
        <v>41.8</v>
      </c>
      <c r="AB63" s="24">
        <f t="shared" si="77"/>
        <v>27.8</v>
      </c>
      <c r="AC63" s="24">
        <f t="shared" si="78"/>
        <v>17</v>
      </c>
      <c r="AE63" s="6">
        <f t="shared" si="55"/>
        <v>0.36</v>
      </c>
      <c r="AF63" s="6">
        <f t="shared" si="56"/>
        <v>1</v>
      </c>
      <c r="AG63" s="6">
        <f t="shared" si="57"/>
        <v>0.5291071428571429</v>
      </c>
      <c r="AH63" s="6">
        <f>AVERAGE(AF$7:AF63)</f>
        <v>0.6203007518796992</v>
      </c>
      <c r="AI63" s="9">
        <f t="shared" si="58"/>
        <v>28</v>
      </c>
      <c r="AJ63">
        <v>0</v>
      </c>
      <c r="AL63">
        <f t="shared" si="59"/>
        <v>57</v>
      </c>
      <c r="AM63">
        <f t="shared" si="60"/>
        <v>36</v>
      </c>
      <c r="AN63" s="9">
        <f t="shared" si="61"/>
        <v>67.74193548387096</v>
      </c>
      <c r="AO63" s="24">
        <f t="shared" si="62"/>
        <v>52.910714285714285</v>
      </c>
      <c r="AP63" s="24">
        <f>AVERAGE(AN$7:AN63)</f>
        <v>70.79796264855688</v>
      </c>
      <c r="AQ63">
        <f t="shared" si="63"/>
        <v>21</v>
      </c>
      <c r="AR63">
        <v>10</v>
      </c>
      <c r="AS63" s="24">
        <f t="shared" si="64"/>
        <v>40.4</v>
      </c>
      <c r="AT63" s="24">
        <f t="shared" si="79"/>
        <v>70.83396609922833</v>
      </c>
    </row>
    <row r="64" spans="1:46" ht="12">
      <c r="A64">
        <v>58</v>
      </c>
      <c r="B64">
        <v>57</v>
      </c>
      <c r="C64" s="9">
        <f t="shared" si="72"/>
        <v>36.9</v>
      </c>
      <c r="D64" s="24">
        <f>AVERAGE(B$7:B64)</f>
        <v>52.98245614035088</v>
      </c>
      <c r="E64" s="24">
        <f t="shared" si="73"/>
        <v>40.4</v>
      </c>
      <c r="G64">
        <v>82</v>
      </c>
      <c r="H64">
        <v>64</v>
      </c>
      <c r="I64">
        <v>49</v>
      </c>
      <c r="J64">
        <v>35</v>
      </c>
      <c r="K64">
        <v>27</v>
      </c>
      <c r="M64" s="9">
        <f>AVERAGE(G$7:G64)</f>
        <v>79.6842105263158</v>
      </c>
      <c r="N64" s="9">
        <f>AVERAGE(H$7:H64)</f>
        <v>67.54385964912281</v>
      </c>
      <c r="O64" s="9">
        <f>AVERAGE(I$7:I64)</f>
        <v>55.49122807017544</v>
      </c>
      <c r="P64" s="9">
        <f>AVERAGE(J$7:J64)</f>
        <v>43.29824561403509</v>
      </c>
      <c r="Q64" s="9">
        <f>AVERAGE(K$7:K64)</f>
        <v>31.70175438596491</v>
      </c>
      <c r="S64" s="9">
        <f t="shared" si="50"/>
        <v>79.6842105263158</v>
      </c>
      <c r="T64" s="6">
        <f t="shared" si="51"/>
        <v>0.8476442095992954</v>
      </c>
      <c r="U64" s="6">
        <f t="shared" si="52"/>
        <v>0.6963892558344341</v>
      </c>
      <c r="V64" s="6">
        <f t="shared" si="53"/>
        <v>0.5433729634522236</v>
      </c>
      <c r="W64" s="6">
        <f t="shared" si="54"/>
        <v>0.3978423601937472</v>
      </c>
      <c r="Y64" s="24">
        <f t="shared" si="74"/>
        <v>71</v>
      </c>
      <c r="Z64" s="24">
        <f t="shared" si="75"/>
        <v>56.4</v>
      </c>
      <c r="AA64" s="24">
        <f t="shared" si="76"/>
        <v>41.8</v>
      </c>
      <c r="AB64" s="24">
        <f t="shared" si="77"/>
        <v>27.8</v>
      </c>
      <c r="AC64" s="24">
        <f t="shared" si="78"/>
        <v>17</v>
      </c>
      <c r="AE64" s="6">
        <f t="shared" si="55"/>
        <v>0.5700000000000001</v>
      </c>
      <c r="AG64" s="6">
        <f t="shared" si="57"/>
        <v>0.5298245614035088</v>
      </c>
      <c r="AL64">
        <f t="shared" si="59"/>
        <v>58</v>
      </c>
      <c r="AM64">
        <f t="shared" si="60"/>
        <v>57</v>
      </c>
      <c r="AN64" s="9">
        <f t="shared" si="61"/>
        <v>67.74193548387096</v>
      </c>
      <c r="AO64" s="24">
        <f t="shared" si="62"/>
        <v>52.98245614035088</v>
      </c>
      <c r="AP64" s="24">
        <f>AVERAGE(AN$7:AN64)</f>
        <v>70.7452725250278</v>
      </c>
      <c r="AQ64">
        <f t="shared" si="63"/>
        <v>21</v>
      </c>
      <c r="AR64">
        <v>10</v>
      </c>
      <c r="AS64" s="24">
        <f t="shared" si="64"/>
        <v>40.4</v>
      </c>
      <c r="AT64" s="24">
        <f t="shared" si="79"/>
        <v>70.83396609922833</v>
      </c>
    </row>
    <row r="65" spans="1:46" ht="12">
      <c r="A65">
        <v>59</v>
      </c>
      <c r="B65">
        <v>44</v>
      </c>
      <c r="C65" s="9">
        <f t="shared" si="72"/>
        <v>38.5</v>
      </c>
      <c r="D65" s="24">
        <f>AVERAGE(B$7:B65)</f>
        <v>52.827586206896555</v>
      </c>
      <c r="E65" s="24">
        <f t="shared" si="73"/>
        <v>40.4</v>
      </c>
      <c r="G65">
        <v>80</v>
      </c>
      <c r="H65">
        <v>63</v>
      </c>
      <c r="I65">
        <v>47</v>
      </c>
      <c r="J65">
        <v>32</v>
      </c>
      <c r="K65">
        <v>18</v>
      </c>
      <c r="M65" s="9">
        <f>AVERAGE(G$7:G65)</f>
        <v>79.6896551724138</v>
      </c>
      <c r="N65" s="9">
        <f>AVERAGE(H$7:H65)</f>
        <v>67.46551724137932</v>
      </c>
      <c r="O65" s="9">
        <f>AVERAGE(I$7:I65)</f>
        <v>55.3448275862069</v>
      </c>
      <c r="P65" s="9">
        <f>AVERAGE(J$7:J65)</f>
        <v>43.10344827586207</v>
      </c>
      <c r="Q65" s="9">
        <f>AVERAGE(K$7:K65)</f>
        <v>31.46551724137931</v>
      </c>
      <c r="S65" s="9">
        <f t="shared" si="50"/>
        <v>79.6896551724138</v>
      </c>
      <c r="T65" s="6">
        <f t="shared" si="51"/>
        <v>0.846603202077023</v>
      </c>
      <c r="U65" s="6">
        <f t="shared" si="52"/>
        <v>0.6945045434876677</v>
      </c>
      <c r="V65" s="6">
        <f t="shared" si="53"/>
        <v>0.540891389009087</v>
      </c>
      <c r="W65" s="6">
        <f t="shared" si="54"/>
        <v>0.39485071397663346</v>
      </c>
      <c r="Y65" s="24">
        <f t="shared" si="74"/>
        <v>71</v>
      </c>
      <c r="Z65" s="24">
        <f t="shared" si="75"/>
        <v>56.4</v>
      </c>
      <c r="AA65" s="24">
        <f t="shared" si="76"/>
        <v>41.8</v>
      </c>
      <c r="AB65" s="24">
        <f t="shared" si="77"/>
        <v>27.8</v>
      </c>
      <c r="AC65" s="24">
        <f t="shared" si="78"/>
        <v>17</v>
      </c>
      <c r="AE65" s="6">
        <f t="shared" si="55"/>
        <v>0.44</v>
      </c>
      <c r="AG65" s="6">
        <f t="shared" si="57"/>
        <v>0.5282758620689656</v>
      </c>
      <c r="AL65">
        <f t="shared" si="59"/>
        <v>59</v>
      </c>
      <c r="AM65">
        <f t="shared" si="60"/>
        <v>44</v>
      </c>
      <c r="AN65" s="9">
        <f t="shared" si="61"/>
        <v>77.41935483870968</v>
      </c>
      <c r="AO65" s="24">
        <f t="shared" si="62"/>
        <v>52.827586206896555</v>
      </c>
      <c r="AP65" s="24">
        <f>AVERAGE(AN$7:AN65)</f>
        <v>70.85839256424275</v>
      </c>
      <c r="AQ65">
        <f t="shared" si="63"/>
        <v>24</v>
      </c>
      <c r="AR65">
        <v>7</v>
      </c>
      <c r="AS65" s="24">
        <f t="shared" si="64"/>
        <v>40.4</v>
      </c>
      <c r="AT65" s="24">
        <f t="shared" si="79"/>
        <v>70.83396609922833</v>
      </c>
    </row>
    <row r="66" spans="1:46" ht="12">
      <c r="A66">
        <v>60</v>
      </c>
      <c r="B66">
        <v>53</v>
      </c>
      <c r="C66" s="9">
        <f t="shared" si="72"/>
        <v>40.4</v>
      </c>
      <c r="D66" s="24">
        <f>AVERAGE(B$7:B66)</f>
        <v>52.83050847457627</v>
      </c>
      <c r="E66" s="24">
        <f t="shared" si="73"/>
        <v>40.4</v>
      </c>
      <c r="G66">
        <v>72</v>
      </c>
      <c r="H66">
        <v>70</v>
      </c>
      <c r="I66">
        <v>60</v>
      </c>
      <c r="J66">
        <v>44</v>
      </c>
      <c r="K66">
        <v>26</v>
      </c>
      <c r="M66" s="9">
        <f>AVERAGE(G$7:G66)</f>
        <v>79.55932203389831</v>
      </c>
      <c r="N66" s="9">
        <f>AVERAGE(H$7:H66)</f>
        <v>67.50847457627118</v>
      </c>
      <c r="O66" s="9">
        <f>AVERAGE(I$7:I66)</f>
        <v>55.42372881355932</v>
      </c>
      <c r="P66" s="9">
        <f>AVERAGE(J$7:J66)</f>
        <v>43.11864406779661</v>
      </c>
      <c r="Q66" s="9">
        <f>AVERAGE(K$7:K66)</f>
        <v>31.372881355932204</v>
      </c>
      <c r="S66" s="9">
        <f t="shared" si="50"/>
        <v>79.55932203389831</v>
      </c>
      <c r="T66" s="6">
        <f t="shared" si="51"/>
        <v>0.8485300383468256</v>
      </c>
      <c r="U66" s="6">
        <f t="shared" si="52"/>
        <v>0.6966340008521517</v>
      </c>
      <c r="V66" s="6">
        <f t="shared" si="53"/>
        <v>0.541968470387729</v>
      </c>
      <c r="W66" s="6">
        <f t="shared" si="54"/>
        <v>0.39433319130805283</v>
      </c>
      <c r="Y66" s="24">
        <f t="shared" si="74"/>
        <v>71</v>
      </c>
      <c r="Z66" s="24">
        <f t="shared" si="75"/>
        <v>56.4</v>
      </c>
      <c r="AA66" s="24">
        <f t="shared" si="76"/>
        <v>41.8</v>
      </c>
      <c r="AB66" s="24">
        <f t="shared" si="77"/>
        <v>27.8</v>
      </c>
      <c r="AC66" s="24">
        <f t="shared" si="78"/>
        <v>17</v>
      </c>
      <c r="AE66" s="6">
        <f t="shared" si="55"/>
        <v>0.53</v>
      </c>
      <c r="AG66" s="6">
        <f t="shared" si="57"/>
        <v>0.5283050847457627</v>
      </c>
      <c r="AL66">
        <f t="shared" si="59"/>
        <v>60</v>
      </c>
      <c r="AM66">
        <f t="shared" si="60"/>
        <v>53</v>
      </c>
      <c r="AN66" s="9">
        <f t="shared" si="61"/>
        <v>77.41935483870968</v>
      </c>
      <c r="AO66" s="24">
        <f t="shared" si="62"/>
        <v>52.83050847457627</v>
      </c>
      <c r="AP66" s="24">
        <f>AVERAGE(AN$7:AN66)</f>
        <v>70.96774193548386</v>
      </c>
      <c r="AQ66">
        <f t="shared" si="63"/>
        <v>24</v>
      </c>
      <c r="AR66">
        <v>7</v>
      </c>
      <c r="AS66" s="24">
        <f t="shared" si="64"/>
        <v>40.4</v>
      </c>
      <c r="AT66" s="24">
        <f t="shared" si="79"/>
        <v>70.83396609922833</v>
      </c>
    </row>
    <row r="67" spans="1:46" ht="12">
      <c r="A67">
        <v>61</v>
      </c>
      <c r="B67">
        <v>59</v>
      </c>
      <c r="C67" s="9">
        <f t="shared" si="72"/>
        <v>41.1</v>
      </c>
      <c r="D67" s="24">
        <f>AVERAGE(B$7:B67)</f>
        <v>52.93333333333333</v>
      </c>
      <c r="E67" s="24">
        <f aca="true" t="shared" si="80" ref="E67:E76">AVERAGE(B$67:B$76)</f>
        <v>34.5</v>
      </c>
      <c r="G67">
        <v>89</v>
      </c>
      <c r="H67">
        <v>77</v>
      </c>
      <c r="I67">
        <v>63</v>
      </c>
      <c r="J67">
        <v>48</v>
      </c>
      <c r="K67">
        <v>32</v>
      </c>
      <c r="M67" s="9">
        <f>AVERAGE(G$7:G67)</f>
        <v>79.71666666666667</v>
      </c>
      <c r="N67" s="9">
        <f>AVERAGE(H$7:H67)</f>
        <v>67.66666666666667</v>
      </c>
      <c r="O67" s="9">
        <f>AVERAGE(I$7:I67)</f>
        <v>55.55</v>
      </c>
      <c r="P67" s="9">
        <f>AVERAGE(J$7:J67)</f>
        <v>43.2</v>
      </c>
      <c r="Q67" s="9">
        <f>AVERAGE(K$7:K67)</f>
        <v>31.383333333333333</v>
      </c>
      <c r="S67" s="9">
        <f t="shared" si="50"/>
        <v>79.71666666666667</v>
      </c>
      <c r="T67" s="6">
        <f t="shared" si="51"/>
        <v>0.8488396403930588</v>
      </c>
      <c r="U67" s="6">
        <f t="shared" si="52"/>
        <v>0.6968429855739076</v>
      </c>
      <c r="V67" s="6">
        <f t="shared" si="53"/>
        <v>0.5419192975120217</v>
      </c>
      <c r="W67" s="6">
        <f t="shared" si="54"/>
        <v>0.3936859711478152</v>
      </c>
      <c r="Y67" s="24">
        <f aca="true" t="shared" si="81" ref="Y67:Y76">AVERAGE(G$67:G$76)</f>
        <v>62.2</v>
      </c>
      <c r="Z67" s="24">
        <f aca="true" t="shared" si="82" ref="Z67:Z76">AVERAGE(H$67:H$76)</f>
        <v>47.2</v>
      </c>
      <c r="AA67" s="24">
        <f aca="true" t="shared" si="83" ref="AA67:AA76">AVERAGE(I$67:I$76)</f>
        <v>35.2</v>
      </c>
      <c r="AB67" s="24">
        <f aca="true" t="shared" si="84" ref="AB67:AB76">AVERAGE(J$67:J$76)</f>
        <v>25.7</v>
      </c>
      <c r="AC67" s="24">
        <f aca="true" t="shared" si="85" ref="AC67:AC76">AVERAGE(K$67:K$76)</f>
        <v>17.9</v>
      </c>
      <c r="AE67" s="6">
        <f t="shared" si="55"/>
        <v>0.59</v>
      </c>
      <c r="AG67" s="6">
        <f t="shared" si="57"/>
        <v>0.5293333333333333</v>
      </c>
      <c r="AL67">
        <f t="shared" si="59"/>
        <v>61</v>
      </c>
      <c r="AM67">
        <f t="shared" si="60"/>
        <v>59</v>
      </c>
      <c r="AN67" s="9">
        <f t="shared" si="61"/>
        <v>96.7741935483871</v>
      </c>
      <c r="AO67" s="24">
        <f t="shared" si="62"/>
        <v>52.93333333333333</v>
      </c>
      <c r="AP67" s="24">
        <f>AVERAGE(AN$7:AN67)</f>
        <v>71.39079851930194</v>
      </c>
      <c r="AQ67">
        <f t="shared" si="63"/>
        <v>30</v>
      </c>
      <c r="AR67">
        <v>1</v>
      </c>
      <c r="AS67" s="24">
        <f t="shared" si="64"/>
        <v>34.5</v>
      </c>
      <c r="AT67" s="24">
        <f aca="true" t="shared" si="86" ref="AT67:AT76">AVERAGE(AP$67:AP$76)</f>
        <v>70.43956133764193</v>
      </c>
    </row>
    <row r="68" spans="1:46" ht="12">
      <c r="A68">
        <v>62</v>
      </c>
      <c r="B68">
        <v>42</v>
      </c>
      <c r="C68" s="9">
        <f t="shared" si="72"/>
        <v>41</v>
      </c>
      <c r="D68" s="24">
        <f>AVERAGE(B$7:B68)</f>
        <v>52.75409836065574</v>
      </c>
      <c r="E68" s="24">
        <f t="shared" si="80"/>
        <v>34.5</v>
      </c>
      <c r="G68">
        <v>82</v>
      </c>
      <c r="H68">
        <v>66</v>
      </c>
      <c r="I68">
        <v>45</v>
      </c>
      <c r="J68">
        <v>26</v>
      </c>
      <c r="K68">
        <v>15</v>
      </c>
      <c r="M68" s="9">
        <f>AVERAGE(G$7:G68)</f>
        <v>79.75409836065573</v>
      </c>
      <c r="N68" s="9">
        <f>AVERAGE(H$7:H68)</f>
        <v>67.63934426229508</v>
      </c>
      <c r="O68" s="9">
        <f>AVERAGE(I$7:I68)</f>
        <v>55.377049180327866</v>
      </c>
      <c r="P68" s="9">
        <f>AVERAGE(J$7:J68)</f>
        <v>42.91803278688525</v>
      </c>
      <c r="Q68" s="9">
        <f>AVERAGE(K$7:K68)</f>
        <v>31.114754098360656</v>
      </c>
      <c r="S68" s="9">
        <f t="shared" si="50"/>
        <v>79.75409836065573</v>
      </c>
      <c r="T68" s="6">
        <f t="shared" si="51"/>
        <v>0.8480986639260021</v>
      </c>
      <c r="U68" s="6">
        <f t="shared" si="52"/>
        <v>0.6943473792394655</v>
      </c>
      <c r="V68" s="6">
        <f t="shared" si="53"/>
        <v>0.5381294964028778</v>
      </c>
      <c r="W68" s="6">
        <f t="shared" si="54"/>
        <v>0.39013360739979447</v>
      </c>
      <c r="Y68" s="24">
        <f t="shared" si="81"/>
        <v>62.2</v>
      </c>
      <c r="Z68" s="24">
        <f t="shared" si="82"/>
        <v>47.2</v>
      </c>
      <c r="AA68" s="24">
        <f t="shared" si="83"/>
        <v>35.2</v>
      </c>
      <c r="AB68" s="24">
        <f t="shared" si="84"/>
        <v>25.7</v>
      </c>
      <c r="AC68" s="24">
        <f t="shared" si="85"/>
        <v>17.9</v>
      </c>
      <c r="AE68" s="6">
        <f t="shared" si="55"/>
        <v>0.42</v>
      </c>
      <c r="AG68" s="6">
        <f t="shared" si="57"/>
        <v>0.5275409836065574</v>
      </c>
      <c r="AL68">
        <f t="shared" si="59"/>
        <v>62</v>
      </c>
      <c r="AM68">
        <f t="shared" si="60"/>
        <v>42</v>
      </c>
      <c r="AN68" s="9">
        <f t="shared" si="61"/>
        <v>70.96774193548387</v>
      </c>
      <c r="AO68" s="24">
        <f t="shared" si="62"/>
        <v>52.75409836065574</v>
      </c>
      <c r="AP68" s="24">
        <f>AVERAGE(AN$7:AN68)</f>
        <v>71.38397502601455</v>
      </c>
      <c r="AQ68">
        <f t="shared" si="63"/>
        <v>22</v>
      </c>
      <c r="AR68">
        <v>9</v>
      </c>
      <c r="AS68" s="24">
        <f t="shared" si="64"/>
        <v>34.5</v>
      </c>
      <c r="AT68" s="24">
        <f t="shared" si="86"/>
        <v>70.43956133764193</v>
      </c>
    </row>
    <row r="69" spans="1:46" ht="12">
      <c r="A69">
        <v>63</v>
      </c>
      <c r="B69">
        <v>24</v>
      </c>
      <c r="C69" s="9">
        <f t="shared" si="72"/>
        <v>41.9</v>
      </c>
      <c r="D69" s="24">
        <f>AVERAGE(B$7:B69)</f>
        <v>52.29032258064516</v>
      </c>
      <c r="E69" s="24">
        <f t="shared" si="80"/>
        <v>34.5</v>
      </c>
      <c r="G69">
        <v>48</v>
      </c>
      <c r="H69">
        <v>31</v>
      </c>
      <c r="I69">
        <v>23</v>
      </c>
      <c r="J69">
        <v>18</v>
      </c>
      <c r="K69">
        <v>16</v>
      </c>
      <c r="M69" s="9">
        <f>AVERAGE(G$7:G69)</f>
        <v>79.24193548387096</v>
      </c>
      <c r="N69" s="9">
        <f>AVERAGE(H$7:H69)</f>
        <v>67.04838709677419</v>
      </c>
      <c r="O69" s="9">
        <f>AVERAGE(I$7:I69)</f>
        <v>54.854838709677416</v>
      </c>
      <c r="P69" s="9">
        <f>AVERAGE(J$7:J69)</f>
        <v>42.516129032258064</v>
      </c>
      <c r="Q69" s="9">
        <f>AVERAGE(K$7:K69)</f>
        <v>30.870967741935484</v>
      </c>
      <c r="S69" s="9">
        <f t="shared" si="50"/>
        <v>79.24193548387096</v>
      </c>
      <c r="T69" s="6">
        <f t="shared" si="51"/>
        <v>0.8461225320578059</v>
      </c>
      <c r="U69" s="6">
        <f t="shared" si="52"/>
        <v>0.6922450641156117</v>
      </c>
      <c r="V69" s="6">
        <f t="shared" si="53"/>
        <v>0.536535721555058</v>
      </c>
      <c r="W69" s="6">
        <f t="shared" si="54"/>
        <v>0.38957866883777736</v>
      </c>
      <c r="Y69" s="24">
        <f t="shared" si="81"/>
        <v>62.2</v>
      </c>
      <c r="Z69" s="24">
        <f t="shared" si="82"/>
        <v>47.2</v>
      </c>
      <c r="AA69" s="24">
        <f t="shared" si="83"/>
        <v>35.2</v>
      </c>
      <c r="AB69" s="24">
        <f t="shared" si="84"/>
        <v>25.7</v>
      </c>
      <c r="AC69" s="24">
        <f t="shared" si="85"/>
        <v>17.9</v>
      </c>
      <c r="AE69" s="6">
        <f t="shared" si="55"/>
        <v>0.24</v>
      </c>
      <c r="AG69" s="6">
        <f t="shared" si="57"/>
        <v>0.5229032258064517</v>
      </c>
      <c r="AL69">
        <f t="shared" si="59"/>
        <v>63</v>
      </c>
      <c r="AM69">
        <f t="shared" si="60"/>
        <v>24</v>
      </c>
      <c r="AN69" s="9">
        <f t="shared" si="61"/>
        <v>51.61290322580645</v>
      </c>
      <c r="AO69" s="24">
        <f t="shared" si="62"/>
        <v>52.29032258064516</v>
      </c>
      <c r="AP69" s="24">
        <f>AVERAGE(AN$7:AN69)</f>
        <v>71.07014848950332</v>
      </c>
      <c r="AQ69">
        <f t="shared" si="63"/>
        <v>16</v>
      </c>
      <c r="AR69">
        <v>15</v>
      </c>
      <c r="AS69" s="24">
        <f t="shared" si="64"/>
        <v>34.5</v>
      </c>
      <c r="AT69" s="24">
        <f t="shared" si="86"/>
        <v>70.43956133764193</v>
      </c>
    </row>
    <row r="70" spans="1:46" ht="12">
      <c r="A70">
        <v>64</v>
      </c>
      <c r="B70">
        <v>9</v>
      </c>
      <c r="C70" s="9">
        <f t="shared" si="72"/>
        <v>39.2</v>
      </c>
      <c r="D70" s="24">
        <f>AVERAGE(B$7:B70)</f>
        <v>51.6031746031746</v>
      </c>
      <c r="E70" s="24">
        <f t="shared" si="80"/>
        <v>34.5</v>
      </c>
      <c r="G70">
        <v>21</v>
      </c>
      <c r="H70">
        <v>11</v>
      </c>
      <c r="I70">
        <v>7</v>
      </c>
      <c r="J70">
        <v>6</v>
      </c>
      <c r="K70">
        <v>7</v>
      </c>
      <c r="M70" s="9">
        <f>AVERAGE(G$7:G70)</f>
        <v>78.31746031746032</v>
      </c>
      <c r="N70" s="9">
        <f>AVERAGE(H$7:H70)</f>
        <v>66.15873015873017</v>
      </c>
      <c r="O70" s="9">
        <f>AVERAGE(I$7:I70)</f>
        <v>54.095238095238095</v>
      </c>
      <c r="P70" s="9">
        <f>AVERAGE(J$7:J70)</f>
        <v>41.93650793650794</v>
      </c>
      <c r="Q70" s="9">
        <f>AVERAGE(K$7:K70)</f>
        <v>30.49206349206349</v>
      </c>
      <c r="S70" s="9">
        <f t="shared" si="50"/>
        <v>78.31746031746032</v>
      </c>
      <c r="T70" s="6">
        <f t="shared" si="51"/>
        <v>0.8447507093635996</v>
      </c>
      <c r="U70" s="6">
        <f t="shared" si="52"/>
        <v>0.6907174706120794</v>
      </c>
      <c r="V70" s="6">
        <f t="shared" si="53"/>
        <v>0.535468179975679</v>
      </c>
      <c r="W70" s="6">
        <f t="shared" si="54"/>
        <v>0.3893392784758816</v>
      </c>
      <c r="Y70" s="24">
        <f t="shared" si="81"/>
        <v>62.2</v>
      </c>
      <c r="Z70" s="24">
        <f t="shared" si="82"/>
        <v>47.2</v>
      </c>
      <c r="AA70" s="24">
        <f t="shared" si="83"/>
        <v>35.2</v>
      </c>
      <c r="AB70" s="24">
        <f t="shared" si="84"/>
        <v>25.7</v>
      </c>
      <c r="AC70" s="24">
        <f t="shared" si="85"/>
        <v>17.9</v>
      </c>
      <c r="AE70" s="6">
        <f t="shared" si="55"/>
        <v>0.09</v>
      </c>
      <c r="AG70" s="6">
        <f t="shared" si="57"/>
        <v>0.5160317460317461</v>
      </c>
      <c r="AL70">
        <f t="shared" si="59"/>
        <v>64</v>
      </c>
      <c r="AM70">
        <f t="shared" si="60"/>
        <v>9</v>
      </c>
      <c r="AN70" s="9">
        <f t="shared" si="61"/>
        <v>16.129032258064516</v>
      </c>
      <c r="AO70" s="24">
        <f t="shared" si="62"/>
        <v>51.6031746031746</v>
      </c>
      <c r="AP70" s="24">
        <f>AVERAGE(AN$7:AN70)</f>
        <v>70.21169354838709</v>
      </c>
      <c r="AQ70">
        <f t="shared" si="63"/>
        <v>5</v>
      </c>
      <c r="AR70">
        <v>26</v>
      </c>
      <c r="AS70" s="24">
        <f t="shared" si="64"/>
        <v>34.5</v>
      </c>
      <c r="AT70" s="24">
        <f t="shared" si="86"/>
        <v>70.43956133764193</v>
      </c>
    </row>
    <row r="71" spans="1:46" ht="12">
      <c r="A71">
        <v>65</v>
      </c>
      <c r="B71">
        <v>16</v>
      </c>
      <c r="C71" s="9">
        <f t="shared" si="72"/>
        <v>39.6</v>
      </c>
      <c r="D71" s="24">
        <f>AVERAGE(B$7:B71)</f>
        <v>51.046875</v>
      </c>
      <c r="E71" s="24">
        <f t="shared" si="80"/>
        <v>34.5</v>
      </c>
      <c r="G71">
        <v>50</v>
      </c>
      <c r="H71">
        <v>26</v>
      </c>
      <c r="I71">
        <v>13</v>
      </c>
      <c r="J71">
        <v>6</v>
      </c>
      <c r="K71">
        <v>5</v>
      </c>
      <c r="M71" s="9">
        <f>AVERAGE(G$7:G71)</f>
        <v>77.875</v>
      </c>
      <c r="N71" s="9">
        <f>AVERAGE(H$7:H71)</f>
        <v>65.53125</v>
      </c>
      <c r="O71" s="9">
        <f>AVERAGE(I$7:I71)</f>
        <v>53.453125</v>
      </c>
      <c r="P71" s="9">
        <f>AVERAGE(J$7:J71)</f>
        <v>41.375</v>
      </c>
      <c r="Q71" s="9">
        <f>AVERAGE(K$7:K71)</f>
        <v>30.09375</v>
      </c>
      <c r="S71" s="9">
        <f aca="true" t="shared" si="87" ref="S71:S76">M71</f>
        <v>77.875</v>
      </c>
      <c r="T71" s="6">
        <f aca="true" t="shared" si="88" ref="T71:T76">N71/$M71</f>
        <v>0.8414927768860353</v>
      </c>
      <c r="U71" s="6">
        <f aca="true" t="shared" si="89" ref="U71:U76">O71/$M71</f>
        <v>0.6863964686998395</v>
      </c>
      <c r="V71" s="6">
        <f aca="true" t="shared" si="90" ref="V71:V76">P71/$M71</f>
        <v>0.5313001605136437</v>
      </c>
      <c r="W71" s="6">
        <f aca="true" t="shared" si="91" ref="W71:W76">Q71/$M71</f>
        <v>0.3864365971107544</v>
      </c>
      <c r="Y71" s="24">
        <f t="shared" si="81"/>
        <v>62.2</v>
      </c>
      <c r="Z71" s="24">
        <f t="shared" si="82"/>
        <v>47.2</v>
      </c>
      <c r="AA71" s="24">
        <f t="shared" si="83"/>
        <v>35.2</v>
      </c>
      <c r="AB71" s="24">
        <f t="shared" si="84"/>
        <v>25.7</v>
      </c>
      <c r="AC71" s="24">
        <f t="shared" si="85"/>
        <v>17.9</v>
      </c>
      <c r="AE71" s="6">
        <f aca="true" t="shared" si="92" ref="AE71:AE76">B71*0.01</f>
        <v>0.16</v>
      </c>
      <c r="AG71" s="6">
        <f aca="true" t="shared" si="93" ref="AG71:AG76">D71*0.01</f>
        <v>0.51046875</v>
      </c>
      <c r="AL71">
        <f aca="true" t="shared" si="94" ref="AL71:AL76">A71</f>
        <v>65</v>
      </c>
      <c r="AM71">
        <f aca="true" t="shared" si="95" ref="AM71:AM76">B71</f>
        <v>16</v>
      </c>
      <c r="AN71" s="9">
        <f aca="true" t="shared" si="96" ref="AN71:AN76">(AQ71/AQ$5)*100</f>
        <v>90.32258064516128</v>
      </c>
      <c r="AO71" s="24">
        <f aca="true" t="shared" si="97" ref="AO71:AO76">D71</f>
        <v>51.046875</v>
      </c>
      <c r="AP71" s="24">
        <f>AVERAGE(AN$7:AN71)</f>
        <v>70.52109181141438</v>
      </c>
      <c r="AQ71">
        <f aca="true" t="shared" si="98" ref="AQ71:AQ76">AQ$5-AR71</f>
        <v>28</v>
      </c>
      <c r="AR71">
        <v>3</v>
      </c>
      <c r="AS71" s="24">
        <f aca="true" t="shared" si="99" ref="AS71:AS76">E71</f>
        <v>34.5</v>
      </c>
      <c r="AT71" s="24">
        <f t="shared" si="86"/>
        <v>70.43956133764193</v>
      </c>
    </row>
    <row r="72" spans="1:46" ht="12">
      <c r="A72">
        <v>66</v>
      </c>
      <c r="B72">
        <v>12</v>
      </c>
      <c r="C72" s="9">
        <f t="shared" si="72"/>
        <v>35.2</v>
      </c>
      <c r="D72" s="24">
        <f>AVERAGE(B$7:B72)</f>
        <v>50.44615384615385</v>
      </c>
      <c r="E72" s="24">
        <f t="shared" si="80"/>
        <v>34.5</v>
      </c>
      <c r="G72">
        <v>30</v>
      </c>
      <c r="H72">
        <v>17</v>
      </c>
      <c r="I72">
        <v>10</v>
      </c>
      <c r="J72">
        <v>8</v>
      </c>
      <c r="K72">
        <v>9</v>
      </c>
      <c r="M72" s="9">
        <f>AVERAGE(G$7:G72)</f>
        <v>77.13846153846154</v>
      </c>
      <c r="N72" s="9">
        <f>AVERAGE(H$7:H72)</f>
        <v>64.78461538461538</v>
      </c>
      <c r="O72" s="9">
        <f>AVERAGE(I$7:I72)</f>
        <v>52.784615384615385</v>
      </c>
      <c r="P72" s="9">
        <f>AVERAGE(J$7:J72)</f>
        <v>40.86153846153846</v>
      </c>
      <c r="Q72" s="9">
        <f>AVERAGE(K$7:K72)</f>
        <v>29.76923076923077</v>
      </c>
      <c r="S72" s="9">
        <f t="shared" si="87"/>
        <v>77.13846153846154</v>
      </c>
      <c r="T72" s="6">
        <f t="shared" si="88"/>
        <v>0.8398484244116473</v>
      </c>
      <c r="U72" s="6">
        <f t="shared" si="89"/>
        <v>0.6842840047865975</v>
      </c>
      <c r="V72" s="6">
        <f t="shared" si="90"/>
        <v>0.5297167929796569</v>
      </c>
      <c r="W72" s="6">
        <f t="shared" si="91"/>
        <v>0.3859194256082968</v>
      </c>
      <c r="Y72" s="24">
        <f t="shared" si="81"/>
        <v>62.2</v>
      </c>
      <c r="Z72" s="24">
        <f t="shared" si="82"/>
        <v>47.2</v>
      </c>
      <c r="AA72" s="24">
        <f t="shared" si="83"/>
        <v>35.2</v>
      </c>
      <c r="AB72" s="24">
        <f t="shared" si="84"/>
        <v>25.7</v>
      </c>
      <c r="AC72" s="24">
        <f t="shared" si="85"/>
        <v>17.9</v>
      </c>
      <c r="AE72" s="6">
        <f t="shared" si="92"/>
        <v>0.12</v>
      </c>
      <c r="AG72" s="6">
        <f t="shared" si="93"/>
        <v>0.5044615384615385</v>
      </c>
      <c r="AL72">
        <f t="shared" si="94"/>
        <v>66</v>
      </c>
      <c r="AM72">
        <f t="shared" si="95"/>
        <v>12</v>
      </c>
      <c r="AN72" s="9">
        <f t="shared" si="96"/>
        <v>41.935483870967744</v>
      </c>
      <c r="AO72" s="24">
        <f t="shared" si="97"/>
        <v>50.44615384615385</v>
      </c>
      <c r="AP72" s="24">
        <f>AVERAGE(AN$7:AN72)</f>
        <v>70.08797653958943</v>
      </c>
      <c r="AQ72">
        <f t="shared" si="98"/>
        <v>13</v>
      </c>
      <c r="AR72">
        <v>18</v>
      </c>
      <c r="AS72" s="24">
        <f t="shared" si="99"/>
        <v>34.5</v>
      </c>
      <c r="AT72" s="24">
        <f t="shared" si="86"/>
        <v>70.43956133764193</v>
      </c>
    </row>
    <row r="73" spans="1:46" ht="12">
      <c r="A73">
        <v>67</v>
      </c>
      <c r="B73">
        <v>48</v>
      </c>
      <c r="C73" s="9">
        <f t="shared" si="72"/>
        <v>36.4</v>
      </c>
      <c r="D73" s="24">
        <f>AVERAGE(B$7:B73)</f>
        <v>50.40909090909091</v>
      </c>
      <c r="E73" s="24">
        <f t="shared" si="80"/>
        <v>34.5</v>
      </c>
      <c r="G73">
        <v>81</v>
      </c>
      <c r="H73">
        <v>67</v>
      </c>
      <c r="I73">
        <v>50</v>
      </c>
      <c r="J73">
        <v>37</v>
      </c>
      <c r="K73">
        <v>24</v>
      </c>
      <c r="M73" s="9">
        <f>AVERAGE(G$7:G73)</f>
        <v>77.1969696969697</v>
      </c>
      <c r="N73" s="9">
        <f>AVERAGE(H$7:H73)</f>
        <v>64.81818181818181</v>
      </c>
      <c r="O73" s="9">
        <f>AVERAGE(I$7:I73)</f>
        <v>52.74242424242424</v>
      </c>
      <c r="P73" s="9">
        <f>AVERAGE(J$7:J73)</f>
        <v>40.803030303030305</v>
      </c>
      <c r="Q73" s="9">
        <f>AVERAGE(K$7:K73)</f>
        <v>29.681818181818183</v>
      </c>
      <c r="S73" s="9">
        <f t="shared" si="87"/>
        <v>77.1969696969697</v>
      </c>
      <c r="T73" s="6">
        <f t="shared" si="88"/>
        <v>0.8396467124631991</v>
      </c>
      <c r="U73" s="6">
        <f t="shared" si="89"/>
        <v>0.6832188420019627</v>
      </c>
      <c r="V73" s="6">
        <f t="shared" si="90"/>
        <v>0.5285574092247302</v>
      </c>
      <c r="W73" s="6">
        <f t="shared" si="91"/>
        <v>0.38449460255152107</v>
      </c>
      <c r="Y73" s="24">
        <f t="shared" si="81"/>
        <v>62.2</v>
      </c>
      <c r="Z73" s="24">
        <f t="shared" si="82"/>
        <v>47.2</v>
      </c>
      <c r="AA73" s="24">
        <f t="shared" si="83"/>
        <v>35.2</v>
      </c>
      <c r="AB73" s="24">
        <f t="shared" si="84"/>
        <v>25.7</v>
      </c>
      <c r="AC73" s="24">
        <f t="shared" si="85"/>
        <v>17.9</v>
      </c>
      <c r="AE73" s="6">
        <f t="shared" si="92"/>
        <v>0.48</v>
      </c>
      <c r="AG73" s="6">
        <f t="shared" si="93"/>
        <v>0.504090909090909</v>
      </c>
      <c r="AL73">
        <f t="shared" si="94"/>
        <v>67</v>
      </c>
      <c r="AM73">
        <f t="shared" si="95"/>
        <v>48</v>
      </c>
      <c r="AN73" s="9">
        <f t="shared" si="96"/>
        <v>70.96774193548387</v>
      </c>
      <c r="AO73" s="24">
        <f t="shared" si="97"/>
        <v>50.40909090909091</v>
      </c>
      <c r="AP73" s="24">
        <f>AVERAGE(AN$7:AN73)</f>
        <v>70.10110736639383</v>
      </c>
      <c r="AQ73">
        <f t="shared" si="98"/>
        <v>22</v>
      </c>
      <c r="AR73">
        <v>9</v>
      </c>
      <c r="AS73" s="24">
        <f t="shared" si="99"/>
        <v>34.5</v>
      </c>
      <c r="AT73" s="24">
        <f t="shared" si="86"/>
        <v>70.43956133764193</v>
      </c>
    </row>
    <row r="74" spans="1:46" ht="12">
      <c r="A74">
        <v>68</v>
      </c>
      <c r="B74">
        <v>25</v>
      </c>
      <c r="C74" s="9">
        <f t="shared" si="72"/>
        <v>33.2</v>
      </c>
      <c r="D74" s="24">
        <f>AVERAGE(B$7:B74)</f>
        <v>50.02985074626866</v>
      </c>
      <c r="E74" s="24">
        <f t="shared" si="80"/>
        <v>34.5</v>
      </c>
      <c r="G74">
        <v>44</v>
      </c>
      <c r="H74">
        <v>29</v>
      </c>
      <c r="I74">
        <v>24</v>
      </c>
      <c r="J74">
        <v>22</v>
      </c>
      <c r="K74">
        <v>15</v>
      </c>
      <c r="M74" s="9">
        <f>AVERAGE(G$7:G74)</f>
        <v>76.70149253731343</v>
      </c>
      <c r="N74" s="9">
        <f>AVERAGE(H$7:H74)</f>
        <v>64.28358208955224</v>
      </c>
      <c r="O74" s="9">
        <f>AVERAGE(I$7:I74)</f>
        <v>52.3134328358209</v>
      </c>
      <c r="P74" s="9">
        <f>AVERAGE(J$7:J74)</f>
        <v>40.52238805970149</v>
      </c>
      <c r="Q74" s="9">
        <f>AVERAGE(K$7:K74)</f>
        <v>29.46268656716418</v>
      </c>
      <c r="S74" s="9">
        <f t="shared" si="87"/>
        <v>76.70149253731343</v>
      </c>
      <c r="T74" s="6">
        <f t="shared" si="88"/>
        <v>0.8381007978205878</v>
      </c>
      <c r="U74" s="6">
        <f t="shared" si="89"/>
        <v>0.6820393072582215</v>
      </c>
      <c r="V74" s="6">
        <f t="shared" si="90"/>
        <v>0.5283129013426737</v>
      </c>
      <c r="W74" s="6">
        <f t="shared" si="91"/>
        <v>0.3841214244016346</v>
      </c>
      <c r="Y74" s="24">
        <f t="shared" si="81"/>
        <v>62.2</v>
      </c>
      <c r="Z74" s="24">
        <f t="shared" si="82"/>
        <v>47.2</v>
      </c>
      <c r="AA74" s="24">
        <f t="shared" si="83"/>
        <v>35.2</v>
      </c>
      <c r="AB74" s="24">
        <f t="shared" si="84"/>
        <v>25.7</v>
      </c>
      <c r="AC74" s="24">
        <f t="shared" si="85"/>
        <v>17.9</v>
      </c>
      <c r="AE74" s="6">
        <f t="shared" si="92"/>
        <v>0.25</v>
      </c>
      <c r="AG74" s="6">
        <f t="shared" si="93"/>
        <v>0.5002985074626866</v>
      </c>
      <c r="AL74">
        <f t="shared" si="94"/>
        <v>68</v>
      </c>
      <c r="AM74">
        <f t="shared" si="95"/>
        <v>25</v>
      </c>
      <c r="AN74" s="9">
        <f t="shared" si="96"/>
        <v>45.16129032258064</v>
      </c>
      <c r="AO74" s="24">
        <f t="shared" si="97"/>
        <v>50.02985074626866</v>
      </c>
      <c r="AP74" s="24">
        <f>AVERAGE(AN$7:AN74)</f>
        <v>69.73434535104363</v>
      </c>
      <c r="AQ74">
        <f t="shared" si="98"/>
        <v>14</v>
      </c>
      <c r="AR74">
        <v>17</v>
      </c>
      <c r="AS74" s="24">
        <f t="shared" si="99"/>
        <v>34.5</v>
      </c>
      <c r="AT74" s="24">
        <f t="shared" si="86"/>
        <v>70.43956133764193</v>
      </c>
    </row>
    <row r="75" spans="1:46" ht="12">
      <c r="A75">
        <v>69</v>
      </c>
      <c r="B75">
        <v>70</v>
      </c>
      <c r="C75" s="9">
        <f t="shared" si="72"/>
        <v>35.8</v>
      </c>
      <c r="D75" s="24">
        <f>AVERAGE(B$7:B75)</f>
        <v>50.3235294117647</v>
      </c>
      <c r="E75" s="24">
        <f t="shared" si="80"/>
        <v>34.5</v>
      </c>
      <c r="G75">
        <v>95</v>
      </c>
      <c r="H75">
        <v>87</v>
      </c>
      <c r="I75">
        <v>77</v>
      </c>
      <c r="J75">
        <v>61</v>
      </c>
      <c r="K75">
        <v>38</v>
      </c>
      <c r="M75" s="9">
        <f>AVERAGE(G$7:G75)</f>
        <v>76.97058823529412</v>
      </c>
      <c r="N75" s="9">
        <f>AVERAGE(H$7:H75)</f>
        <v>64.61764705882354</v>
      </c>
      <c r="O75" s="9">
        <f>AVERAGE(I$7:I75)</f>
        <v>52.6764705882353</v>
      </c>
      <c r="P75" s="9">
        <f>AVERAGE(J$7:J75)</f>
        <v>40.8235294117647</v>
      </c>
      <c r="Q75" s="9">
        <f>AVERAGE(K$7:K75)</f>
        <v>29.58823529411765</v>
      </c>
      <c r="S75" s="9">
        <f t="shared" si="87"/>
        <v>76.97058823529412</v>
      </c>
      <c r="T75" s="6">
        <f t="shared" si="88"/>
        <v>0.8395108903324419</v>
      </c>
      <c r="U75" s="6">
        <f t="shared" si="89"/>
        <v>0.6843714176538022</v>
      </c>
      <c r="V75" s="6">
        <f t="shared" si="90"/>
        <v>0.530378295758502</v>
      </c>
      <c r="W75" s="6">
        <f t="shared" si="91"/>
        <v>0.3844096293465801</v>
      </c>
      <c r="Y75" s="24">
        <f t="shared" si="81"/>
        <v>62.2</v>
      </c>
      <c r="Z75" s="24">
        <f t="shared" si="82"/>
        <v>47.2</v>
      </c>
      <c r="AA75" s="24">
        <f t="shared" si="83"/>
        <v>35.2</v>
      </c>
      <c r="AB75" s="24">
        <f t="shared" si="84"/>
        <v>25.7</v>
      </c>
      <c r="AC75" s="24">
        <f t="shared" si="85"/>
        <v>17.9</v>
      </c>
      <c r="AE75" s="6">
        <f t="shared" si="92"/>
        <v>0.7000000000000001</v>
      </c>
      <c r="AG75" s="6">
        <f t="shared" si="93"/>
        <v>0.503235294117647</v>
      </c>
      <c r="AL75">
        <f t="shared" si="94"/>
        <v>69</v>
      </c>
      <c r="AM75">
        <f t="shared" si="95"/>
        <v>70</v>
      </c>
      <c r="AN75" s="9">
        <f t="shared" si="96"/>
        <v>90.32258064516128</v>
      </c>
      <c r="AO75" s="24">
        <f t="shared" si="97"/>
        <v>50.3235294117647</v>
      </c>
      <c r="AP75" s="24">
        <f>AVERAGE(AN$7:AN75)</f>
        <v>70.0327255726975</v>
      </c>
      <c r="AQ75">
        <f t="shared" si="98"/>
        <v>28</v>
      </c>
      <c r="AR75">
        <v>3</v>
      </c>
      <c r="AS75" s="24">
        <f t="shared" si="99"/>
        <v>34.5</v>
      </c>
      <c r="AT75" s="24">
        <f t="shared" si="86"/>
        <v>70.43956133764193</v>
      </c>
    </row>
    <row r="76" spans="1:46" ht="12">
      <c r="A76">
        <v>70</v>
      </c>
      <c r="B76">
        <v>40</v>
      </c>
      <c r="C76" s="9">
        <f t="shared" si="72"/>
        <v>34.5</v>
      </c>
      <c r="D76" s="24">
        <f>AVERAGE(B$7:B76)</f>
        <v>50.17391304347826</v>
      </c>
      <c r="E76" s="24">
        <f t="shared" si="80"/>
        <v>34.5</v>
      </c>
      <c r="G76">
        <v>82</v>
      </c>
      <c r="H76">
        <v>61</v>
      </c>
      <c r="I76">
        <v>40</v>
      </c>
      <c r="J76">
        <v>25</v>
      </c>
      <c r="K76">
        <v>18</v>
      </c>
      <c r="M76" s="9">
        <f>AVERAGE(G$7:G76)</f>
        <v>77.04347826086956</v>
      </c>
      <c r="N76" s="9">
        <f>AVERAGE(H$7:H76)</f>
        <v>64.56521739130434</v>
      </c>
      <c r="O76" s="9">
        <f>AVERAGE(I$7:I76)</f>
        <v>52.492753623188406</v>
      </c>
      <c r="P76" s="9">
        <f>AVERAGE(J$7:J76)</f>
        <v>40.594202898550726</v>
      </c>
      <c r="Q76" s="9">
        <f>AVERAGE(K$7:K76)</f>
        <v>29.420289855072465</v>
      </c>
      <c r="S76" s="9">
        <f t="shared" si="87"/>
        <v>77.04347826086956</v>
      </c>
      <c r="T76" s="6">
        <f t="shared" si="88"/>
        <v>0.8380361173814899</v>
      </c>
      <c r="U76" s="6">
        <f t="shared" si="89"/>
        <v>0.681339352896915</v>
      </c>
      <c r="V76" s="6">
        <f t="shared" si="90"/>
        <v>0.5268999247554552</v>
      </c>
      <c r="W76" s="6">
        <f t="shared" si="91"/>
        <v>0.38186606471030854</v>
      </c>
      <c r="Y76" s="24">
        <f t="shared" si="81"/>
        <v>62.2</v>
      </c>
      <c r="Z76" s="24">
        <f t="shared" si="82"/>
        <v>47.2</v>
      </c>
      <c r="AA76" s="24">
        <f t="shared" si="83"/>
        <v>35.2</v>
      </c>
      <c r="AB76" s="24">
        <f t="shared" si="84"/>
        <v>25.7</v>
      </c>
      <c r="AC76" s="24">
        <f t="shared" si="85"/>
        <v>17.9</v>
      </c>
      <c r="AE76" s="6">
        <f t="shared" si="92"/>
        <v>0.4</v>
      </c>
      <c r="AG76" s="6">
        <f t="shared" si="93"/>
        <v>0.5017391304347826</v>
      </c>
      <c r="AL76">
        <f t="shared" si="94"/>
        <v>70</v>
      </c>
      <c r="AM76">
        <f t="shared" si="95"/>
        <v>40</v>
      </c>
      <c r="AN76" s="9">
        <f t="shared" si="96"/>
        <v>58.06451612903226</v>
      </c>
      <c r="AO76" s="24">
        <f t="shared" si="97"/>
        <v>50.17391304347826</v>
      </c>
      <c r="AP76" s="24">
        <f>AVERAGE(AN$7:AN76)</f>
        <v>69.86175115207372</v>
      </c>
      <c r="AQ76">
        <f t="shared" si="98"/>
        <v>18</v>
      </c>
      <c r="AR76">
        <v>13</v>
      </c>
      <c r="AS76" s="24">
        <f t="shared" si="99"/>
        <v>34.5</v>
      </c>
      <c r="AT76" s="24">
        <f t="shared" si="86"/>
        <v>70.43956133764193</v>
      </c>
    </row>
    <row r="77" ht="12">
      <c r="M77" s="9"/>
    </row>
    <row r="78" ht="12">
      <c r="M78" s="9"/>
    </row>
    <row r="79" ht="12">
      <c r="M79" s="9"/>
    </row>
    <row r="80" ht="12">
      <c r="M80" s="9"/>
    </row>
    <row r="65536" ht="12">
      <c r="M65536" s="9"/>
    </row>
  </sheetData>
  <hyperlinks>
    <hyperlink ref="A4" r:id="rId1" display="bstrickl@egrps.org"/>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dimension ref="A1:AX65536"/>
  <sheetViews>
    <sheetView workbookViewId="0" topLeftCell="D5">
      <pane ySplit="570" topLeftCell="BM1" activePane="bottomLeft" state="split"/>
      <selection pane="topLeft" activeCell="G5" sqref="G1:G16384"/>
      <selection pane="bottomLeft" activeCell="D6" sqref="D6"/>
    </sheetView>
  </sheetViews>
  <sheetFormatPr defaultColWidth="9.00390625" defaultRowHeight="12"/>
  <cols>
    <col min="1" max="1" width="11.375" style="0" customWidth="1"/>
    <col min="2" max="2" width="9.875" style="0" customWidth="1"/>
    <col min="3" max="3" width="8.125" style="0" customWidth="1"/>
    <col min="4" max="16384" width="11.375" style="0" customWidth="1"/>
  </cols>
  <sheetData>
    <row r="1" ht="12">
      <c r="A1" t="s">
        <v>18</v>
      </c>
    </row>
    <row r="2" ht="12">
      <c r="A2" t="s">
        <v>19</v>
      </c>
    </row>
    <row r="3" ht="12">
      <c r="A3" t="s">
        <v>20</v>
      </c>
    </row>
    <row r="4" ht="12">
      <c r="A4" s="26" t="s">
        <v>21</v>
      </c>
    </row>
    <row r="5" spans="4:31" ht="12">
      <c r="D5" t="s">
        <v>303</v>
      </c>
      <c r="E5">
        <v>2007</v>
      </c>
      <c r="M5" t="s">
        <v>96</v>
      </c>
      <c r="S5" t="s">
        <v>97</v>
      </c>
      <c r="Y5" t="s">
        <v>289</v>
      </c>
      <c r="AE5" t="s">
        <v>290</v>
      </c>
    </row>
    <row r="6" spans="1:35" ht="15.75" customHeight="1">
      <c r="A6" s="27" t="s">
        <v>99</v>
      </c>
      <c r="B6" s="27" t="s">
        <v>8</v>
      </c>
      <c r="C6" s="27" t="s">
        <v>100</v>
      </c>
      <c r="D6" s="27" t="s">
        <v>101</v>
      </c>
      <c r="E6" s="27" t="s">
        <v>102</v>
      </c>
      <c r="G6" s="28">
        <v>5</v>
      </c>
      <c r="H6" s="28">
        <v>4</v>
      </c>
      <c r="I6" s="28">
        <v>3</v>
      </c>
      <c r="J6" s="28">
        <v>2</v>
      </c>
      <c r="K6" s="28">
        <v>1</v>
      </c>
      <c r="L6" s="28"/>
      <c r="M6" s="28">
        <v>5</v>
      </c>
      <c r="N6" s="28">
        <v>4</v>
      </c>
      <c r="O6" s="28">
        <v>3</v>
      </c>
      <c r="P6" s="28">
        <v>2</v>
      </c>
      <c r="Q6" s="28">
        <v>1</v>
      </c>
      <c r="S6" s="28">
        <v>5</v>
      </c>
      <c r="T6" s="28">
        <v>4</v>
      </c>
      <c r="U6" s="28">
        <v>3</v>
      </c>
      <c r="V6" s="28">
        <v>2</v>
      </c>
      <c r="W6" s="28">
        <v>1</v>
      </c>
      <c r="Y6" s="28">
        <v>5</v>
      </c>
      <c r="Z6" s="28">
        <v>4</v>
      </c>
      <c r="AA6" s="28">
        <v>3</v>
      </c>
      <c r="AB6" s="28">
        <v>2</v>
      </c>
      <c r="AC6" s="28">
        <v>1</v>
      </c>
      <c r="AE6" s="28">
        <v>5</v>
      </c>
      <c r="AF6" s="28">
        <v>4</v>
      </c>
      <c r="AG6" s="28">
        <v>3</v>
      </c>
      <c r="AH6" s="28">
        <v>2</v>
      </c>
      <c r="AI6" s="28">
        <v>1</v>
      </c>
    </row>
    <row r="7" spans="1:50" ht="12">
      <c r="A7">
        <v>1</v>
      </c>
      <c r="B7">
        <v>47</v>
      </c>
      <c r="C7" s="9"/>
      <c r="D7" s="24">
        <f>AVERAGE(B$7:B7)</f>
        <v>47</v>
      </c>
      <c r="E7" s="24">
        <f aca="true" t="shared" si="0" ref="E7:E16">AVERAGE(B$7:B$16)</f>
        <v>67.5</v>
      </c>
      <c r="G7">
        <v>85</v>
      </c>
      <c r="H7">
        <v>70</v>
      </c>
      <c r="I7">
        <v>53</v>
      </c>
      <c r="J7">
        <v>35</v>
      </c>
      <c r="K7">
        <v>17</v>
      </c>
      <c r="M7" s="9">
        <f>AVERAGE(G$7:G7)</f>
        <v>85</v>
      </c>
      <c r="N7" s="9">
        <f>AVERAGE(H$7:H7)</f>
        <v>70</v>
      </c>
      <c r="O7" s="9">
        <f>AVERAGE(I$7:I7)</f>
        <v>53</v>
      </c>
      <c r="P7" s="9">
        <f>AVERAGE(J$7:J7)</f>
        <v>35</v>
      </c>
      <c r="Q7" s="9">
        <f>AVERAGE(K$7:K7)</f>
        <v>17</v>
      </c>
      <c r="S7" s="9">
        <f aca="true" t="shared" si="1" ref="S7:S38">M7</f>
        <v>85</v>
      </c>
      <c r="T7" s="6">
        <f aca="true" t="shared" si="2" ref="T7:T38">N7/$M7</f>
        <v>0.8235294117647058</v>
      </c>
      <c r="U7" s="6">
        <f aca="true" t="shared" si="3" ref="U7:U38">O7/$M7</f>
        <v>0.6235294117647059</v>
      </c>
      <c r="V7" s="6">
        <f aca="true" t="shared" si="4" ref="V7:V38">P7/$M7</f>
        <v>0.4117647058823529</v>
      </c>
      <c r="W7" s="6">
        <f aca="true" t="shared" si="5" ref="W7:W38">Q7/$M7</f>
        <v>0.2</v>
      </c>
      <c r="Y7" s="24">
        <f aca="true" t="shared" si="6" ref="Y7:Y16">AVERAGE(G$7:G$16)</f>
        <v>90.2</v>
      </c>
      <c r="Z7" s="24">
        <f aca="true" t="shared" si="7" ref="Z7:Z16">AVERAGE(H$7:H$16)</f>
        <v>82</v>
      </c>
      <c r="AA7" s="24">
        <f aca="true" t="shared" si="8" ref="AA7:AA16">AVERAGE(I$7:I$16)</f>
        <v>72.8</v>
      </c>
      <c r="AB7" s="24">
        <f aca="true" t="shared" si="9" ref="AB7:AB16">AVERAGE(J$7:J$16)</f>
        <v>61.2</v>
      </c>
      <c r="AC7" s="24">
        <f aca="true" t="shared" si="10" ref="AC7:AC16">AVERAGE(K$7:K$16)</f>
        <v>45</v>
      </c>
      <c r="AE7" s="6">
        <f>Y7*0.01</f>
        <v>0.902</v>
      </c>
      <c r="AF7" s="6">
        <f>(Z7/Y7)</f>
        <v>0.9090909090909091</v>
      </c>
      <c r="AG7" s="6">
        <f>(AA7/Y7)</f>
        <v>0.8070953436807095</v>
      </c>
      <c r="AH7" s="6">
        <f>AB7/Y7</f>
        <v>0.6784922394678492</v>
      </c>
      <c r="AI7" s="6">
        <f>AC7/Y7</f>
        <v>0.49889135254988914</v>
      </c>
      <c r="AN7" s="9"/>
      <c r="AO7" s="24"/>
      <c r="AP7" s="24"/>
      <c r="AS7" s="24"/>
      <c r="AT7" s="24"/>
      <c r="AX7" s="9"/>
    </row>
    <row r="8" spans="1:50" ht="12">
      <c r="A8">
        <v>2</v>
      </c>
      <c r="B8">
        <v>77</v>
      </c>
      <c r="C8" s="9"/>
      <c r="D8" s="24">
        <f>AVERAGE(B$7:B8)</f>
        <v>62</v>
      </c>
      <c r="E8" s="24">
        <f t="shared" si="0"/>
        <v>67.5</v>
      </c>
      <c r="G8">
        <v>95</v>
      </c>
      <c r="H8">
        <v>89</v>
      </c>
      <c r="I8">
        <v>83</v>
      </c>
      <c r="J8">
        <v>74</v>
      </c>
      <c r="K8">
        <v>53</v>
      </c>
      <c r="M8" s="9">
        <f>AVERAGE(G$7:G8)</f>
        <v>90</v>
      </c>
      <c r="N8" s="9">
        <f>AVERAGE(H$7:H8)</f>
        <v>79.5</v>
      </c>
      <c r="O8" s="9">
        <f>AVERAGE(I$7:I8)</f>
        <v>68</v>
      </c>
      <c r="P8" s="9">
        <f>AVERAGE(J$7:J8)</f>
        <v>54.5</v>
      </c>
      <c r="Q8" s="9">
        <f>AVERAGE(K$7:K8)</f>
        <v>35</v>
      </c>
      <c r="S8" s="9">
        <f t="shared" si="1"/>
        <v>90</v>
      </c>
      <c r="T8" s="6">
        <f t="shared" si="2"/>
        <v>0.8833333333333333</v>
      </c>
      <c r="U8" s="6">
        <f t="shared" si="3"/>
        <v>0.7555555555555555</v>
      </c>
      <c r="V8" s="6">
        <f t="shared" si="4"/>
        <v>0.6055555555555555</v>
      </c>
      <c r="W8" s="6">
        <f t="shared" si="5"/>
        <v>0.3888888888888889</v>
      </c>
      <c r="Y8" s="24">
        <f t="shared" si="6"/>
        <v>90.2</v>
      </c>
      <c r="Z8" s="24">
        <f t="shared" si="7"/>
        <v>82</v>
      </c>
      <c r="AA8" s="24">
        <f t="shared" si="8"/>
        <v>72.8</v>
      </c>
      <c r="AB8" s="24">
        <f t="shared" si="9"/>
        <v>61.2</v>
      </c>
      <c r="AC8" s="24">
        <f t="shared" si="10"/>
        <v>45</v>
      </c>
      <c r="AE8" s="6">
        <f aca="true" t="shared" si="11" ref="AE8:AE71">Y8*0.01</f>
        <v>0.902</v>
      </c>
      <c r="AF8" s="6">
        <f aca="true" t="shared" si="12" ref="AF8:AF71">(Z8/Y8)</f>
        <v>0.9090909090909091</v>
      </c>
      <c r="AG8" s="6">
        <f aca="true" t="shared" si="13" ref="AG8:AG71">(AA8/Y8)</f>
        <v>0.8070953436807095</v>
      </c>
      <c r="AH8" s="6">
        <f aca="true" t="shared" si="14" ref="AH8:AH71">AB8/Y8</f>
        <v>0.6784922394678492</v>
      </c>
      <c r="AI8" s="6">
        <f aca="true" t="shared" si="15" ref="AI8:AI71">AC8/Y8</f>
        <v>0.49889135254988914</v>
      </c>
      <c r="AN8" s="9"/>
      <c r="AO8" s="24"/>
      <c r="AP8" s="24"/>
      <c r="AS8" s="24"/>
      <c r="AT8" s="24"/>
      <c r="AX8" s="9"/>
    </row>
    <row r="9" spans="1:50" ht="12">
      <c r="A9">
        <v>3</v>
      </c>
      <c r="B9">
        <v>60</v>
      </c>
      <c r="C9" s="9"/>
      <c r="D9" s="24">
        <f>AVERAGE(B$7:B9)</f>
        <v>61.333333333333336</v>
      </c>
      <c r="E9" s="24">
        <f t="shared" si="0"/>
        <v>67.5</v>
      </c>
      <c r="G9">
        <v>90</v>
      </c>
      <c r="H9">
        <v>81</v>
      </c>
      <c r="I9">
        <v>69</v>
      </c>
      <c r="J9">
        <v>50</v>
      </c>
      <c r="K9">
        <v>27</v>
      </c>
      <c r="M9" s="9">
        <f>AVERAGE(G$7:G9)</f>
        <v>90</v>
      </c>
      <c r="N9" s="9">
        <f>AVERAGE(H$7:H9)</f>
        <v>80</v>
      </c>
      <c r="O9" s="9">
        <f>AVERAGE(I$7:I9)</f>
        <v>68.33333333333333</v>
      </c>
      <c r="P9" s="9">
        <f>AVERAGE(J$7:J9)</f>
        <v>53</v>
      </c>
      <c r="Q9" s="9">
        <f>AVERAGE(K$7:K9)</f>
        <v>32.333333333333336</v>
      </c>
      <c r="S9" s="9">
        <f t="shared" si="1"/>
        <v>90</v>
      </c>
      <c r="T9" s="6">
        <f t="shared" si="2"/>
        <v>0.8888888888888888</v>
      </c>
      <c r="U9" s="6">
        <f t="shared" si="3"/>
        <v>0.7592592592592592</v>
      </c>
      <c r="V9" s="6">
        <f t="shared" si="4"/>
        <v>0.5888888888888889</v>
      </c>
      <c r="W9" s="6">
        <f t="shared" si="5"/>
        <v>0.3592592592592593</v>
      </c>
      <c r="Y9" s="24">
        <f t="shared" si="6"/>
        <v>90.2</v>
      </c>
      <c r="Z9" s="24">
        <f t="shared" si="7"/>
        <v>82</v>
      </c>
      <c r="AA9" s="24">
        <f t="shared" si="8"/>
        <v>72.8</v>
      </c>
      <c r="AB9" s="24">
        <f t="shared" si="9"/>
        <v>61.2</v>
      </c>
      <c r="AC9" s="24">
        <f t="shared" si="10"/>
        <v>45</v>
      </c>
      <c r="AE9" s="6">
        <f t="shared" si="11"/>
        <v>0.902</v>
      </c>
      <c r="AF9" s="6">
        <f t="shared" si="12"/>
        <v>0.9090909090909091</v>
      </c>
      <c r="AG9" s="6">
        <f t="shared" si="13"/>
        <v>0.8070953436807095</v>
      </c>
      <c r="AH9" s="6">
        <f t="shared" si="14"/>
        <v>0.6784922394678492</v>
      </c>
      <c r="AI9" s="6">
        <f t="shared" si="15"/>
        <v>0.49889135254988914</v>
      </c>
      <c r="AN9" s="9"/>
      <c r="AO9" s="24"/>
      <c r="AP9" s="24"/>
      <c r="AS9" s="24"/>
      <c r="AT9" s="24"/>
      <c r="AX9" s="9"/>
    </row>
    <row r="10" spans="1:50" ht="12">
      <c r="A10">
        <v>4</v>
      </c>
      <c r="B10">
        <v>57</v>
      </c>
      <c r="C10" s="9"/>
      <c r="D10" s="24">
        <f>AVERAGE(B$7:B10)</f>
        <v>60.25</v>
      </c>
      <c r="E10" s="24">
        <f t="shared" si="0"/>
        <v>67.5</v>
      </c>
      <c r="G10">
        <v>84</v>
      </c>
      <c r="H10">
        <v>73</v>
      </c>
      <c r="I10">
        <v>62</v>
      </c>
      <c r="J10">
        <v>49</v>
      </c>
      <c r="K10">
        <v>34</v>
      </c>
      <c r="M10" s="9">
        <f>AVERAGE(G$7:G10)</f>
        <v>88.5</v>
      </c>
      <c r="N10" s="9">
        <f>AVERAGE(H$7:H10)</f>
        <v>78.25</v>
      </c>
      <c r="O10" s="9">
        <f>AVERAGE(I$7:I10)</f>
        <v>66.75</v>
      </c>
      <c r="P10" s="9">
        <f>AVERAGE(J$7:J10)</f>
        <v>52</v>
      </c>
      <c r="Q10" s="9">
        <f>AVERAGE(K$7:K10)</f>
        <v>32.75</v>
      </c>
      <c r="S10" s="9">
        <f t="shared" si="1"/>
        <v>88.5</v>
      </c>
      <c r="T10" s="6">
        <f t="shared" si="2"/>
        <v>0.884180790960452</v>
      </c>
      <c r="U10" s="6">
        <f t="shared" si="3"/>
        <v>0.7542372881355932</v>
      </c>
      <c r="V10" s="6">
        <f t="shared" si="4"/>
        <v>0.5875706214689266</v>
      </c>
      <c r="W10" s="6">
        <f t="shared" si="5"/>
        <v>0.3700564971751412</v>
      </c>
      <c r="Y10" s="24">
        <f t="shared" si="6"/>
        <v>90.2</v>
      </c>
      <c r="Z10" s="24">
        <f t="shared" si="7"/>
        <v>82</v>
      </c>
      <c r="AA10" s="24">
        <f t="shared" si="8"/>
        <v>72.8</v>
      </c>
      <c r="AB10" s="24">
        <f t="shared" si="9"/>
        <v>61.2</v>
      </c>
      <c r="AC10" s="24">
        <f t="shared" si="10"/>
        <v>45</v>
      </c>
      <c r="AE10" s="6">
        <f t="shared" si="11"/>
        <v>0.902</v>
      </c>
      <c r="AF10" s="6">
        <f t="shared" si="12"/>
        <v>0.9090909090909091</v>
      </c>
      <c r="AG10" s="6">
        <f t="shared" si="13"/>
        <v>0.8070953436807095</v>
      </c>
      <c r="AH10" s="6">
        <f t="shared" si="14"/>
        <v>0.6784922394678492</v>
      </c>
      <c r="AI10" s="6">
        <f t="shared" si="15"/>
        <v>0.49889135254988914</v>
      </c>
      <c r="AN10" s="9"/>
      <c r="AO10" s="24"/>
      <c r="AP10" s="24"/>
      <c r="AS10" s="24"/>
      <c r="AT10" s="24"/>
      <c r="AX10" s="9"/>
    </row>
    <row r="11" spans="1:50" ht="12">
      <c r="A11">
        <v>5</v>
      </c>
      <c r="B11">
        <v>80</v>
      </c>
      <c r="C11" s="9"/>
      <c r="D11" s="24">
        <f>AVERAGE(B$7:B11)</f>
        <v>64.2</v>
      </c>
      <c r="E11" s="24">
        <f t="shared" si="0"/>
        <v>67.5</v>
      </c>
      <c r="G11">
        <v>91</v>
      </c>
      <c r="H11">
        <v>86</v>
      </c>
      <c r="I11">
        <v>82</v>
      </c>
      <c r="J11">
        <v>78</v>
      </c>
      <c r="K11">
        <v>71</v>
      </c>
      <c r="M11" s="9">
        <f>AVERAGE(G$7:G11)</f>
        <v>89</v>
      </c>
      <c r="N11" s="9">
        <f>AVERAGE(H$7:H11)</f>
        <v>79.8</v>
      </c>
      <c r="O11" s="9">
        <f>AVERAGE(I$7:I11)</f>
        <v>69.8</v>
      </c>
      <c r="P11" s="9">
        <f>AVERAGE(J$7:J11)</f>
        <v>57.2</v>
      </c>
      <c r="Q11" s="9">
        <f>AVERAGE(K$7:K11)</f>
        <v>40.4</v>
      </c>
      <c r="S11" s="9">
        <f t="shared" si="1"/>
        <v>89</v>
      </c>
      <c r="T11" s="6">
        <f t="shared" si="2"/>
        <v>0.8966292134831461</v>
      </c>
      <c r="U11" s="6">
        <f t="shared" si="3"/>
        <v>0.7842696629213483</v>
      </c>
      <c r="V11" s="6">
        <f t="shared" si="4"/>
        <v>0.6426966292134831</v>
      </c>
      <c r="W11" s="6">
        <f t="shared" si="5"/>
        <v>0.45393258426966293</v>
      </c>
      <c r="Y11" s="24">
        <f t="shared" si="6"/>
        <v>90.2</v>
      </c>
      <c r="Z11" s="24">
        <f t="shared" si="7"/>
        <v>82</v>
      </c>
      <c r="AA11" s="24">
        <f t="shared" si="8"/>
        <v>72.8</v>
      </c>
      <c r="AB11" s="24">
        <f t="shared" si="9"/>
        <v>61.2</v>
      </c>
      <c r="AC11" s="24">
        <f t="shared" si="10"/>
        <v>45</v>
      </c>
      <c r="AE11" s="6">
        <f t="shared" si="11"/>
        <v>0.902</v>
      </c>
      <c r="AF11" s="6">
        <f t="shared" si="12"/>
        <v>0.9090909090909091</v>
      </c>
      <c r="AG11" s="6">
        <f t="shared" si="13"/>
        <v>0.8070953436807095</v>
      </c>
      <c r="AH11" s="6">
        <f t="shared" si="14"/>
        <v>0.6784922394678492</v>
      </c>
      <c r="AI11" s="6">
        <f t="shared" si="15"/>
        <v>0.49889135254988914</v>
      </c>
      <c r="AN11" s="9"/>
      <c r="AO11" s="24"/>
      <c r="AP11" s="24"/>
      <c r="AS11" s="24"/>
      <c r="AT11" s="24"/>
      <c r="AX11" s="9"/>
    </row>
    <row r="12" spans="1:50" ht="12">
      <c r="A12">
        <v>6</v>
      </c>
      <c r="B12">
        <v>63</v>
      </c>
      <c r="C12" s="9"/>
      <c r="D12" s="24">
        <f>AVERAGE(B$7:B12)</f>
        <v>64</v>
      </c>
      <c r="E12" s="24">
        <f t="shared" si="0"/>
        <v>67.5</v>
      </c>
      <c r="G12">
        <v>86</v>
      </c>
      <c r="H12">
        <v>77</v>
      </c>
      <c r="I12">
        <v>67</v>
      </c>
      <c r="J12">
        <v>56</v>
      </c>
      <c r="K12">
        <v>41</v>
      </c>
      <c r="M12" s="9">
        <f>AVERAGE(G$7:G12)</f>
        <v>88.5</v>
      </c>
      <c r="N12" s="9">
        <f>AVERAGE(H$7:H12)</f>
        <v>79.33333333333333</v>
      </c>
      <c r="O12" s="9">
        <f>AVERAGE(I$7:I12)</f>
        <v>69.33333333333333</v>
      </c>
      <c r="P12" s="9">
        <f>AVERAGE(J$7:J12)</f>
        <v>57</v>
      </c>
      <c r="Q12" s="9">
        <f>AVERAGE(K$7:K12)</f>
        <v>40.5</v>
      </c>
      <c r="S12" s="9">
        <f t="shared" si="1"/>
        <v>88.5</v>
      </c>
      <c r="T12" s="6">
        <f t="shared" si="2"/>
        <v>0.8964218455743879</v>
      </c>
      <c r="U12" s="6">
        <f t="shared" si="3"/>
        <v>0.783427495291902</v>
      </c>
      <c r="V12" s="6">
        <f t="shared" si="4"/>
        <v>0.6440677966101694</v>
      </c>
      <c r="W12" s="6">
        <f t="shared" si="5"/>
        <v>0.4576271186440678</v>
      </c>
      <c r="Y12" s="24">
        <f t="shared" si="6"/>
        <v>90.2</v>
      </c>
      <c r="Z12" s="24">
        <f t="shared" si="7"/>
        <v>82</v>
      </c>
      <c r="AA12" s="24">
        <f t="shared" si="8"/>
        <v>72.8</v>
      </c>
      <c r="AB12" s="24">
        <f t="shared" si="9"/>
        <v>61.2</v>
      </c>
      <c r="AC12" s="24">
        <f t="shared" si="10"/>
        <v>45</v>
      </c>
      <c r="AE12" s="6">
        <f t="shared" si="11"/>
        <v>0.902</v>
      </c>
      <c r="AF12" s="6">
        <f t="shared" si="12"/>
        <v>0.9090909090909091</v>
      </c>
      <c r="AG12" s="6">
        <f t="shared" si="13"/>
        <v>0.8070953436807095</v>
      </c>
      <c r="AH12" s="6">
        <f t="shared" si="14"/>
        <v>0.6784922394678492</v>
      </c>
      <c r="AI12" s="6">
        <f t="shared" si="15"/>
        <v>0.49889135254988914</v>
      </c>
      <c r="AN12" s="9"/>
      <c r="AO12" s="24"/>
      <c r="AP12" s="24"/>
      <c r="AS12" s="24"/>
      <c r="AT12" s="24"/>
      <c r="AX12" s="9"/>
    </row>
    <row r="13" spans="1:50" ht="12">
      <c r="A13">
        <v>7</v>
      </c>
      <c r="B13">
        <v>86</v>
      </c>
      <c r="C13" s="9"/>
      <c r="D13" s="24">
        <f>AVERAGE(B$7:B13)</f>
        <v>67.14285714285714</v>
      </c>
      <c r="E13" s="24">
        <f t="shared" si="0"/>
        <v>67.5</v>
      </c>
      <c r="G13">
        <v>99</v>
      </c>
      <c r="H13">
        <v>97</v>
      </c>
      <c r="I13">
        <v>93</v>
      </c>
      <c r="J13">
        <v>85</v>
      </c>
      <c r="K13">
        <v>64</v>
      </c>
      <c r="M13" s="9">
        <f>AVERAGE(G$7:G13)</f>
        <v>90</v>
      </c>
      <c r="N13" s="9">
        <f>AVERAGE(H$7:H13)</f>
        <v>81.85714285714286</v>
      </c>
      <c r="O13" s="9">
        <f>AVERAGE(I$7:I13)</f>
        <v>72.71428571428571</v>
      </c>
      <c r="P13" s="9">
        <f>AVERAGE(J$7:J13)</f>
        <v>61</v>
      </c>
      <c r="Q13" s="9">
        <f>AVERAGE(K$7:K13)</f>
        <v>43.857142857142854</v>
      </c>
      <c r="S13" s="9">
        <f t="shared" si="1"/>
        <v>90</v>
      </c>
      <c r="T13" s="6">
        <f t="shared" si="2"/>
        <v>0.9095238095238096</v>
      </c>
      <c r="U13" s="6">
        <f t="shared" si="3"/>
        <v>0.8079365079365078</v>
      </c>
      <c r="V13" s="6">
        <f t="shared" si="4"/>
        <v>0.6777777777777778</v>
      </c>
      <c r="W13" s="6">
        <f t="shared" si="5"/>
        <v>0.4873015873015873</v>
      </c>
      <c r="Y13" s="24">
        <f t="shared" si="6"/>
        <v>90.2</v>
      </c>
      <c r="Z13" s="24">
        <f t="shared" si="7"/>
        <v>82</v>
      </c>
      <c r="AA13" s="24">
        <f t="shared" si="8"/>
        <v>72.8</v>
      </c>
      <c r="AB13" s="24">
        <f t="shared" si="9"/>
        <v>61.2</v>
      </c>
      <c r="AC13" s="24">
        <f t="shared" si="10"/>
        <v>45</v>
      </c>
      <c r="AE13" s="6">
        <f t="shared" si="11"/>
        <v>0.902</v>
      </c>
      <c r="AF13" s="6">
        <f t="shared" si="12"/>
        <v>0.9090909090909091</v>
      </c>
      <c r="AG13" s="6">
        <f t="shared" si="13"/>
        <v>0.8070953436807095</v>
      </c>
      <c r="AH13" s="6">
        <f t="shared" si="14"/>
        <v>0.6784922394678492</v>
      </c>
      <c r="AI13" s="6">
        <f t="shared" si="15"/>
        <v>0.49889135254988914</v>
      </c>
      <c r="AN13" s="9"/>
      <c r="AO13" s="24"/>
      <c r="AP13" s="24"/>
      <c r="AS13" s="24"/>
      <c r="AT13" s="24"/>
      <c r="AX13" s="9"/>
    </row>
    <row r="14" spans="1:50" ht="12">
      <c r="A14">
        <v>8</v>
      </c>
      <c r="B14">
        <v>80</v>
      </c>
      <c r="C14" s="9"/>
      <c r="D14" s="24">
        <f>AVERAGE(B$7:B14)</f>
        <v>68.75</v>
      </c>
      <c r="E14" s="24">
        <f t="shared" si="0"/>
        <v>67.5</v>
      </c>
      <c r="G14">
        <v>94</v>
      </c>
      <c r="H14">
        <v>89</v>
      </c>
      <c r="I14">
        <v>84</v>
      </c>
      <c r="J14">
        <v>78</v>
      </c>
      <c r="K14">
        <v>64</v>
      </c>
      <c r="M14" s="9">
        <f>AVERAGE(G$7:G14)</f>
        <v>90.5</v>
      </c>
      <c r="N14" s="9">
        <f>AVERAGE(H$7:H14)</f>
        <v>82.75</v>
      </c>
      <c r="O14" s="9">
        <f>AVERAGE(I$7:I14)</f>
        <v>74.125</v>
      </c>
      <c r="P14" s="9">
        <f>AVERAGE(J$7:J14)</f>
        <v>63.125</v>
      </c>
      <c r="Q14" s="9">
        <f>AVERAGE(K$7:K14)</f>
        <v>46.375</v>
      </c>
      <c r="S14" s="9">
        <f t="shared" si="1"/>
        <v>90.5</v>
      </c>
      <c r="T14" s="6">
        <f t="shared" si="2"/>
        <v>0.914364640883978</v>
      </c>
      <c r="U14" s="6">
        <f t="shared" si="3"/>
        <v>0.819060773480663</v>
      </c>
      <c r="V14" s="6">
        <f t="shared" si="4"/>
        <v>0.6975138121546961</v>
      </c>
      <c r="W14" s="6">
        <f t="shared" si="5"/>
        <v>0.5124309392265194</v>
      </c>
      <c r="Y14" s="24">
        <f t="shared" si="6"/>
        <v>90.2</v>
      </c>
      <c r="Z14" s="24">
        <f t="shared" si="7"/>
        <v>82</v>
      </c>
      <c r="AA14" s="24">
        <f t="shared" si="8"/>
        <v>72.8</v>
      </c>
      <c r="AB14" s="24">
        <f t="shared" si="9"/>
        <v>61.2</v>
      </c>
      <c r="AC14" s="24">
        <f t="shared" si="10"/>
        <v>45</v>
      </c>
      <c r="AE14" s="6">
        <f t="shared" si="11"/>
        <v>0.902</v>
      </c>
      <c r="AF14" s="6">
        <f t="shared" si="12"/>
        <v>0.9090909090909091</v>
      </c>
      <c r="AG14" s="6">
        <f t="shared" si="13"/>
        <v>0.8070953436807095</v>
      </c>
      <c r="AH14" s="6">
        <f t="shared" si="14"/>
        <v>0.6784922394678492</v>
      </c>
      <c r="AI14" s="6">
        <f t="shared" si="15"/>
        <v>0.49889135254988914</v>
      </c>
      <c r="AN14" s="9"/>
      <c r="AO14" s="24"/>
      <c r="AP14" s="24"/>
      <c r="AS14" s="24"/>
      <c r="AT14" s="24"/>
      <c r="AX14" s="9"/>
    </row>
    <row r="15" spans="1:50" ht="12">
      <c r="A15">
        <v>9</v>
      </c>
      <c r="B15">
        <v>69</v>
      </c>
      <c r="C15" s="9"/>
      <c r="D15" s="24">
        <f>AVERAGE(B$7:B15)</f>
        <v>68.77777777777777</v>
      </c>
      <c r="E15" s="24">
        <f t="shared" si="0"/>
        <v>67.5</v>
      </c>
      <c r="G15">
        <v>88</v>
      </c>
      <c r="H15">
        <v>81</v>
      </c>
      <c r="I15">
        <v>74</v>
      </c>
      <c r="J15">
        <v>63</v>
      </c>
      <c r="K15">
        <v>50</v>
      </c>
      <c r="M15" s="9">
        <f>AVERAGE(G$7:G15)</f>
        <v>90.22222222222223</v>
      </c>
      <c r="N15" s="9">
        <f>AVERAGE(H$7:H15)</f>
        <v>82.55555555555556</v>
      </c>
      <c r="O15" s="9">
        <f>AVERAGE(I$7:I15)</f>
        <v>74.11111111111111</v>
      </c>
      <c r="P15" s="9">
        <f>AVERAGE(J$7:J15)</f>
        <v>63.111111111111114</v>
      </c>
      <c r="Q15" s="9">
        <f>AVERAGE(K$7:K15)</f>
        <v>46.77777777777778</v>
      </c>
      <c r="S15" s="9">
        <f t="shared" si="1"/>
        <v>90.22222222222223</v>
      </c>
      <c r="T15" s="6">
        <f t="shared" si="2"/>
        <v>0.9150246305418719</v>
      </c>
      <c r="U15" s="6">
        <f t="shared" si="3"/>
        <v>0.8214285714285714</v>
      </c>
      <c r="V15" s="6">
        <f t="shared" si="4"/>
        <v>0.6995073891625616</v>
      </c>
      <c r="W15" s="6">
        <f t="shared" si="5"/>
        <v>0.5184729064039408</v>
      </c>
      <c r="Y15" s="24">
        <f t="shared" si="6"/>
        <v>90.2</v>
      </c>
      <c r="Z15" s="24">
        <f t="shared" si="7"/>
        <v>82</v>
      </c>
      <c r="AA15" s="24">
        <f t="shared" si="8"/>
        <v>72.8</v>
      </c>
      <c r="AB15" s="24">
        <f t="shared" si="9"/>
        <v>61.2</v>
      </c>
      <c r="AC15" s="24">
        <f t="shared" si="10"/>
        <v>45</v>
      </c>
      <c r="AE15" s="6">
        <f t="shared" si="11"/>
        <v>0.902</v>
      </c>
      <c r="AF15" s="6">
        <f t="shared" si="12"/>
        <v>0.9090909090909091</v>
      </c>
      <c r="AG15" s="6">
        <f t="shared" si="13"/>
        <v>0.8070953436807095</v>
      </c>
      <c r="AH15" s="6">
        <f t="shared" si="14"/>
        <v>0.6784922394678492</v>
      </c>
      <c r="AI15" s="6">
        <f t="shared" si="15"/>
        <v>0.49889135254988914</v>
      </c>
      <c r="AN15" s="9"/>
      <c r="AO15" s="24"/>
      <c r="AP15" s="24"/>
      <c r="AS15" s="24"/>
      <c r="AT15" s="24"/>
      <c r="AX15" s="9"/>
    </row>
    <row r="16" spans="1:50" ht="12">
      <c r="A16">
        <v>10</v>
      </c>
      <c r="B16">
        <v>56</v>
      </c>
      <c r="C16" s="9">
        <f aca="true" t="shared" si="16" ref="C16:C47">AVERAGE(B7:B16)</f>
        <v>67.5</v>
      </c>
      <c r="D16" s="24">
        <f>AVERAGE(B$7:B16)</f>
        <v>67.5</v>
      </c>
      <c r="E16" s="24">
        <f t="shared" si="0"/>
        <v>67.5</v>
      </c>
      <c r="G16">
        <v>90</v>
      </c>
      <c r="H16">
        <v>77</v>
      </c>
      <c r="I16">
        <v>61</v>
      </c>
      <c r="J16">
        <v>44</v>
      </c>
      <c r="K16">
        <v>29</v>
      </c>
      <c r="M16" s="9">
        <f>AVERAGE(G$7:G16)</f>
        <v>90.2</v>
      </c>
      <c r="N16" s="9">
        <f>AVERAGE(H$7:H16)</f>
        <v>82</v>
      </c>
      <c r="O16" s="9">
        <f>AVERAGE(I$7:I16)</f>
        <v>72.8</v>
      </c>
      <c r="P16" s="9">
        <f>AVERAGE(J$7:J16)</f>
        <v>61.2</v>
      </c>
      <c r="Q16" s="9">
        <f>AVERAGE(K$7:K16)</f>
        <v>45</v>
      </c>
      <c r="S16" s="9">
        <f t="shared" si="1"/>
        <v>90.2</v>
      </c>
      <c r="T16" s="6">
        <f t="shared" si="2"/>
        <v>0.9090909090909091</v>
      </c>
      <c r="U16" s="6">
        <f t="shared" si="3"/>
        <v>0.8070953436807095</v>
      </c>
      <c r="V16" s="6">
        <f t="shared" si="4"/>
        <v>0.6784922394678492</v>
      </c>
      <c r="W16" s="6">
        <f t="shared" si="5"/>
        <v>0.49889135254988914</v>
      </c>
      <c r="Y16" s="24">
        <f t="shared" si="6"/>
        <v>90.2</v>
      </c>
      <c r="Z16" s="24">
        <f t="shared" si="7"/>
        <v>82</v>
      </c>
      <c r="AA16" s="24">
        <f t="shared" si="8"/>
        <v>72.8</v>
      </c>
      <c r="AB16" s="24">
        <f t="shared" si="9"/>
        <v>61.2</v>
      </c>
      <c r="AC16" s="24">
        <f t="shared" si="10"/>
        <v>45</v>
      </c>
      <c r="AE16" s="6">
        <f t="shared" si="11"/>
        <v>0.902</v>
      </c>
      <c r="AF16" s="6">
        <f t="shared" si="12"/>
        <v>0.9090909090909091</v>
      </c>
      <c r="AG16" s="6">
        <f t="shared" si="13"/>
        <v>0.8070953436807095</v>
      </c>
      <c r="AH16" s="6">
        <f t="shared" si="14"/>
        <v>0.6784922394678492</v>
      </c>
      <c r="AI16" s="6">
        <f t="shared" si="15"/>
        <v>0.49889135254988914</v>
      </c>
      <c r="AN16" s="9"/>
      <c r="AO16" s="24"/>
      <c r="AP16" s="24"/>
      <c r="AS16" s="24"/>
      <c r="AT16" s="24"/>
      <c r="AX16" s="9"/>
    </row>
    <row r="17" spans="1:50" ht="12">
      <c r="A17">
        <v>11</v>
      </c>
      <c r="B17">
        <v>53</v>
      </c>
      <c r="C17" s="9">
        <f t="shared" si="16"/>
        <v>68.1</v>
      </c>
      <c r="D17" s="24">
        <f>AVERAGE(B$7:B17)</f>
        <v>66.18181818181819</v>
      </c>
      <c r="E17" s="24">
        <f aca="true" t="shared" si="17" ref="E17:E26">AVERAGE(B$17:B$26)</f>
        <v>67.7</v>
      </c>
      <c r="G17">
        <v>92</v>
      </c>
      <c r="H17">
        <v>78</v>
      </c>
      <c r="I17">
        <v>60</v>
      </c>
      <c r="J17">
        <v>39</v>
      </c>
      <c r="K17">
        <v>21</v>
      </c>
      <c r="M17" s="9">
        <f>AVERAGE(G$7:G17)</f>
        <v>90.36363636363636</v>
      </c>
      <c r="N17" s="9">
        <f>AVERAGE(H$7:H17)</f>
        <v>81.63636363636364</v>
      </c>
      <c r="O17" s="9">
        <f>AVERAGE(I$7:I17)</f>
        <v>71.63636363636364</v>
      </c>
      <c r="P17" s="9">
        <f>AVERAGE(J$7:J17)</f>
        <v>59.18181818181818</v>
      </c>
      <c r="Q17" s="9">
        <f>AVERAGE(K$7:K17)</f>
        <v>42.81818181818182</v>
      </c>
      <c r="S17" s="9">
        <f t="shared" si="1"/>
        <v>90.36363636363636</v>
      </c>
      <c r="T17" s="6">
        <f t="shared" si="2"/>
        <v>0.903420523138833</v>
      </c>
      <c r="U17" s="6">
        <f t="shared" si="3"/>
        <v>0.7927565392354126</v>
      </c>
      <c r="V17" s="6">
        <f t="shared" si="4"/>
        <v>0.6549295774647887</v>
      </c>
      <c r="W17" s="6">
        <f t="shared" si="5"/>
        <v>0.47384305835010065</v>
      </c>
      <c r="Y17" s="24">
        <f aca="true" t="shared" si="18" ref="Y17:Y26">AVERAGE(G$17:G$26)</f>
        <v>91.6</v>
      </c>
      <c r="Z17" s="24">
        <f aca="true" t="shared" si="19" ref="Z17:Z26">AVERAGE(H$17:H$26)</f>
        <v>83.3</v>
      </c>
      <c r="AA17" s="24">
        <f aca="true" t="shared" si="20" ref="AA17:AA26">AVERAGE(I$17:I$26)</f>
        <v>73.3</v>
      </c>
      <c r="AB17" s="24">
        <f aca="true" t="shared" si="21" ref="AB17:AB26">AVERAGE(J$17:J$26)</f>
        <v>61</v>
      </c>
      <c r="AC17" s="24">
        <f aca="true" t="shared" si="22" ref="AC17:AC26">AVERAGE(K$17:K$26)</f>
        <v>44</v>
      </c>
      <c r="AE17" s="6">
        <f t="shared" si="11"/>
        <v>0.9159999999999999</v>
      </c>
      <c r="AF17" s="6">
        <f t="shared" si="12"/>
        <v>0.9093886462882096</v>
      </c>
      <c r="AG17" s="6">
        <f t="shared" si="13"/>
        <v>0.8002183406113538</v>
      </c>
      <c r="AH17" s="6">
        <f t="shared" si="14"/>
        <v>0.665938864628821</v>
      </c>
      <c r="AI17" s="6">
        <f t="shared" si="15"/>
        <v>0.48034934497816595</v>
      </c>
      <c r="AN17" s="9"/>
      <c r="AO17" s="24"/>
      <c r="AP17" s="24"/>
      <c r="AS17" s="24"/>
      <c r="AT17" s="24"/>
      <c r="AX17" s="9"/>
    </row>
    <row r="18" spans="1:50" ht="12">
      <c r="A18">
        <v>12</v>
      </c>
      <c r="B18">
        <v>58</v>
      </c>
      <c r="C18" s="9">
        <f t="shared" si="16"/>
        <v>66.2</v>
      </c>
      <c r="D18" s="24">
        <f>AVERAGE(B$7:B18)</f>
        <v>65.5</v>
      </c>
      <c r="E18" s="24">
        <f t="shared" si="17"/>
        <v>67.7</v>
      </c>
      <c r="G18">
        <v>93</v>
      </c>
      <c r="H18">
        <v>83</v>
      </c>
      <c r="I18">
        <v>68</v>
      </c>
      <c r="J18">
        <v>45</v>
      </c>
      <c r="K18">
        <v>21</v>
      </c>
      <c r="M18" s="9">
        <f>AVERAGE(G$7:G18)</f>
        <v>90.58333333333333</v>
      </c>
      <c r="N18" s="9">
        <f>AVERAGE(H$7:H18)</f>
        <v>81.75</v>
      </c>
      <c r="O18" s="9">
        <f>AVERAGE(I$7:I18)</f>
        <v>71.33333333333333</v>
      </c>
      <c r="P18" s="9">
        <f>AVERAGE(J$7:J18)</f>
        <v>58</v>
      </c>
      <c r="Q18" s="9">
        <f>AVERAGE(K$7:K18)</f>
        <v>41</v>
      </c>
      <c r="S18" s="9">
        <f t="shared" si="1"/>
        <v>90.58333333333333</v>
      </c>
      <c r="T18" s="6">
        <f t="shared" si="2"/>
        <v>0.9024839006439743</v>
      </c>
      <c r="U18" s="6">
        <f t="shared" si="3"/>
        <v>0.7874885004599816</v>
      </c>
      <c r="V18" s="6">
        <f t="shared" si="4"/>
        <v>0.640294388224471</v>
      </c>
      <c r="W18" s="6">
        <f t="shared" si="5"/>
        <v>0.45262189512419504</v>
      </c>
      <c r="Y18" s="24">
        <f t="shared" si="18"/>
        <v>91.6</v>
      </c>
      <c r="Z18" s="24">
        <f t="shared" si="19"/>
        <v>83.3</v>
      </c>
      <c r="AA18" s="24">
        <f t="shared" si="20"/>
        <v>73.3</v>
      </c>
      <c r="AB18" s="24">
        <f t="shared" si="21"/>
        <v>61</v>
      </c>
      <c r="AC18" s="24">
        <f t="shared" si="22"/>
        <v>44</v>
      </c>
      <c r="AE18" s="6">
        <f t="shared" si="11"/>
        <v>0.9159999999999999</v>
      </c>
      <c r="AF18" s="6">
        <f t="shared" si="12"/>
        <v>0.9093886462882096</v>
      </c>
      <c r="AG18" s="6">
        <f t="shared" si="13"/>
        <v>0.8002183406113538</v>
      </c>
      <c r="AH18" s="6">
        <f t="shared" si="14"/>
        <v>0.665938864628821</v>
      </c>
      <c r="AI18" s="6">
        <f t="shared" si="15"/>
        <v>0.48034934497816595</v>
      </c>
      <c r="AN18" s="9"/>
      <c r="AO18" s="24"/>
      <c r="AP18" s="24"/>
      <c r="AS18" s="24"/>
      <c r="AT18" s="24"/>
      <c r="AX18" s="9"/>
    </row>
    <row r="19" spans="1:50" ht="12">
      <c r="A19">
        <v>13</v>
      </c>
      <c r="B19">
        <v>60</v>
      </c>
      <c r="C19" s="9">
        <f t="shared" si="16"/>
        <v>66.2</v>
      </c>
      <c r="D19" s="24">
        <f>AVERAGE(B$7:B19)</f>
        <v>65.07692307692308</v>
      </c>
      <c r="E19" s="24">
        <f t="shared" si="17"/>
        <v>67.7</v>
      </c>
      <c r="G19">
        <v>86</v>
      </c>
      <c r="H19">
        <v>73</v>
      </c>
      <c r="I19">
        <v>62</v>
      </c>
      <c r="J19">
        <v>53</v>
      </c>
      <c r="K19">
        <v>43</v>
      </c>
      <c r="M19" s="9">
        <f>AVERAGE(G$7:G19)</f>
        <v>90.23076923076923</v>
      </c>
      <c r="N19" s="9">
        <f>AVERAGE(H$7:H19)</f>
        <v>81.07692307692308</v>
      </c>
      <c r="O19" s="9">
        <f>AVERAGE(I$7:I19)</f>
        <v>70.61538461538461</v>
      </c>
      <c r="P19" s="9">
        <f>AVERAGE(J$7:J19)</f>
        <v>57.61538461538461</v>
      </c>
      <c r="Q19" s="9">
        <f>AVERAGE(K$7:K19)</f>
        <v>41.15384615384615</v>
      </c>
      <c r="S19" s="9">
        <f t="shared" si="1"/>
        <v>90.23076923076923</v>
      </c>
      <c r="T19" s="6">
        <f t="shared" si="2"/>
        <v>0.8985507246376813</v>
      </c>
      <c r="U19" s="6">
        <f t="shared" si="3"/>
        <v>0.782608695652174</v>
      </c>
      <c r="V19" s="6">
        <f t="shared" si="4"/>
        <v>0.638533674339301</v>
      </c>
      <c r="W19" s="6">
        <f t="shared" si="5"/>
        <v>0.4560954816709293</v>
      </c>
      <c r="Y19" s="24">
        <f t="shared" si="18"/>
        <v>91.6</v>
      </c>
      <c r="Z19" s="24">
        <f t="shared" si="19"/>
        <v>83.3</v>
      </c>
      <c r="AA19" s="24">
        <f t="shared" si="20"/>
        <v>73.3</v>
      </c>
      <c r="AB19" s="24">
        <f t="shared" si="21"/>
        <v>61</v>
      </c>
      <c r="AC19" s="24">
        <f t="shared" si="22"/>
        <v>44</v>
      </c>
      <c r="AE19" s="6">
        <f t="shared" si="11"/>
        <v>0.9159999999999999</v>
      </c>
      <c r="AF19" s="6">
        <f t="shared" si="12"/>
        <v>0.9093886462882096</v>
      </c>
      <c r="AG19" s="6">
        <f t="shared" si="13"/>
        <v>0.8002183406113538</v>
      </c>
      <c r="AH19" s="6">
        <f t="shared" si="14"/>
        <v>0.665938864628821</v>
      </c>
      <c r="AI19" s="6">
        <f t="shared" si="15"/>
        <v>0.48034934497816595</v>
      </c>
      <c r="AN19" s="9"/>
      <c r="AO19" s="24"/>
      <c r="AP19" s="24"/>
      <c r="AS19" s="24"/>
      <c r="AT19" s="24"/>
      <c r="AX19" s="9"/>
    </row>
    <row r="20" spans="1:50" ht="12">
      <c r="A20">
        <v>14</v>
      </c>
      <c r="B20">
        <v>56</v>
      </c>
      <c r="C20" s="9">
        <f t="shared" si="16"/>
        <v>66.1</v>
      </c>
      <c r="D20" s="24">
        <f>AVERAGE(B$7:B20)</f>
        <v>64.42857142857143</v>
      </c>
      <c r="E20" s="24">
        <f t="shared" si="17"/>
        <v>67.7</v>
      </c>
      <c r="G20">
        <v>81</v>
      </c>
      <c r="H20">
        <v>69</v>
      </c>
      <c r="I20">
        <v>58</v>
      </c>
      <c r="J20">
        <v>50</v>
      </c>
      <c r="K20">
        <v>38</v>
      </c>
      <c r="M20" s="9">
        <f>AVERAGE(G$7:G20)</f>
        <v>89.57142857142857</v>
      </c>
      <c r="N20" s="9">
        <f>AVERAGE(H$7:H20)</f>
        <v>80.21428571428571</v>
      </c>
      <c r="O20" s="9">
        <f>AVERAGE(I$7:I20)</f>
        <v>69.71428571428571</v>
      </c>
      <c r="P20" s="9">
        <f>AVERAGE(J$7:J20)</f>
        <v>57.07142857142857</v>
      </c>
      <c r="Q20" s="9">
        <f>AVERAGE(K$7:K20)</f>
        <v>40.92857142857143</v>
      </c>
      <c r="S20" s="9">
        <f t="shared" si="1"/>
        <v>89.57142857142857</v>
      </c>
      <c r="T20" s="6">
        <f t="shared" si="2"/>
        <v>0.8955342902711323</v>
      </c>
      <c r="U20" s="6">
        <f t="shared" si="3"/>
        <v>0.7783094098883572</v>
      </c>
      <c r="V20" s="6">
        <f t="shared" si="4"/>
        <v>0.6371610845295056</v>
      </c>
      <c r="W20" s="6">
        <f t="shared" si="5"/>
        <v>0.45693779904306225</v>
      </c>
      <c r="Y20" s="24">
        <f t="shared" si="18"/>
        <v>91.6</v>
      </c>
      <c r="Z20" s="24">
        <f t="shared" si="19"/>
        <v>83.3</v>
      </c>
      <c r="AA20" s="24">
        <f t="shared" si="20"/>
        <v>73.3</v>
      </c>
      <c r="AB20" s="24">
        <f t="shared" si="21"/>
        <v>61</v>
      </c>
      <c r="AC20" s="24">
        <f t="shared" si="22"/>
        <v>44</v>
      </c>
      <c r="AE20" s="6">
        <f t="shared" si="11"/>
        <v>0.9159999999999999</v>
      </c>
      <c r="AF20" s="6">
        <f t="shared" si="12"/>
        <v>0.9093886462882096</v>
      </c>
      <c r="AG20" s="6">
        <f t="shared" si="13"/>
        <v>0.8002183406113538</v>
      </c>
      <c r="AH20" s="6">
        <f t="shared" si="14"/>
        <v>0.665938864628821</v>
      </c>
      <c r="AI20" s="6">
        <f t="shared" si="15"/>
        <v>0.48034934497816595</v>
      </c>
      <c r="AN20" s="9"/>
      <c r="AO20" s="24"/>
      <c r="AP20" s="24"/>
      <c r="AS20" s="24"/>
      <c r="AT20" s="24"/>
      <c r="AX20" s="9"/>
    </row>
    <row r="21" spans="1:50" ht="12">
      <c r="A21">
        <v>15</v>
      </c>
      <c r="B21">
        <v>76</v>
      </c>
      <c r="C21" s="9">
        <f t="shared" si="16"/>
        <v>65.7</v>
      </c>
      <c r="D21" s="24">
        <f>AVERAGE(B$7:B21)</f>
        <v>65.2</v>
      </c>
      <c r="E21" s="24">
        <f t="shared" si="17"/>
        <v>67.7</v>
      </c>
      <c r="G21">
        <v>94</v>
      </c>
      <c r="H21">
        <v>88</v>
      </c>
      <c r="I21">
        <v>79</v>
      </c>
      <c r="J21">
        <v>71</v>
      </c>
      <c r="K21">
        <v>60</v>
      </c>
      <c r="M21" s="9">
        <f>AVERAGE(G$7:G21)</f>
        <v>89.86666666666666</v>
      </c>
      <c r="N21" s="9">
        <f>AVERAGE(H$7:H21)</f>
        <v>80.73333333333333</v>
      </c>
      <c r="O21" s="9">
        <f>AVERAGE(I$7:I21)</f>
        <v>70.33333333333333</v>
      </c>
      <c r="P21" s="9">
        <f>AVERAGE(J$7:J21)</f>
        <v>58</v>
      </c>
      <c r="Q21" s="9">
        <f>AVERAGE(K$7:K21)</f>
        <v>42.2</v>
      </c>
      <c r="S21" s="9">
        <f t="shared" si="1"/>
        <v>89.86666666666666</v>
      </c>
      <c r="T21" s="6">
        <f t="shared" si="2"/>
        <v>0.8983679525222553</v>
      </c>
      <c r="U21" s="6">
        <f t="shared" si="3"/>
        <v>0.7826409495548962</v>
      </c>
      <c r="V21" s="6">
        <f t="shared" si="4"/>
        <v>0.6454005934718101</v>
      </c>
      <c r="W21" s="6">
        <f t="shared" si="5"/>
        <v>0.4695845697329378</v>
      </c>
      <c r="Y21" s="24">
        <f t="shared" si="18"/>
        <v>91.6</v>
      </c>
      <c r="Z21" s="24">
        <f t="shared" si="19"/>
        <v>83.3</v>
      </c>
      <c r="AA21" s="24">
        <f t="shared" si="20"/>
        <v>73.3</v>
      </c>
      <c r="AB21" s="24">
        <f t="shared" si="21"/>
        <v>61</v>
      </c>
      <c r="AC21" s="24">
        <f t="shared" si="22"/>
        <v>44</v>
      </c>
      <c r="AE21" s="6">
        <f t="shared" si="11"/>
        <v>0.9159999999999999</v>
      </c>
      <c r="AF21" s="6">
        <f t="shared" si="12"/>
        <v>0.9093886462882096</v>
      </c>
      <c r="AG21" s="6">
        <f t="shared" si="13"/>
        <v>0.8002183406113538</v>
      </c>
      <c r="AH21" s="6">
        <f t="shared" si="14"/>
        <v>0.665938864628821</v>
      </c>
      <c r="AI21" s="6">
        <f t="shared" si="15"/>
        <v>0.48034934497816595</v>
      </c>
      <c r="AN21" s="9"/>
      <c r="AO21" s="24"/>
      <c r="AP21" s="24"/>
      <c r="AS21" s="24"/>
      <c r="AT21" s="24"/>
      <c r="AX21" s="9"/>
    </row>
    <row r="22" spans="1:50" ht="12">
      <c r="A22">
        <v>16</v>
      </c>
      <c r="B22">
        <v>76</v>
      </c>
      <c r="C22" s="9">
        <f t="shared" si="16"/>
        <v>67</v>
      </c>
      <c r="D22" s="24">
        <f>AVERAGE(B$7:B22)</f>
        <v>65.875</v>
      </c>
      <c r="E22" s="24">
        <f t="shared" si="17"/>
        <v>67.7</v>
      </c>
      <c r="G22">
        <v>95</v>
      </c>
      <c r="H22">
        <v>91</v>
      </c>
      <c r="I22">
        <v>86</v>
      </c>
      <c r="J22">
        <v>73</v>
      </c>
      <c r="K22">
        <v>47</v>
      </c>
      <c r="M22" s="9">
        <f>AVERAGE(G$7:G22)</f>
        <v>90.1875</v>
      </c>
      <c r="N22" s="9">
        <f>AVERAGE(H$7:H22)</f>
        <v>81.375</v>
      </c>
      <c r="O22" s="9">
        <f>AVERAGE(I$7:I22)</f>
        <v>71.3125</v>
      </c>
      <c r="P22" s="9">
        <f>AVERAGE(J$7:J22)</f>
        <v>58.9375</v>
      </c>
      <c r="Q22" s="9">
        <f>AVERAGE(K$7:K22)</f>
        <v>42.5</v>
      </c>
      <c r="S22" s="9">
        <f t="shared" si="1"/>
        <v>90.1875</v>
      </c>
      <c r="T22" s="6">
        <f t="shared" si="2"/>
        <v>0.9022869022869023</v>
      </c>
      <c r="U22" s="6">
        <f t="shared" si="3"/>
        <v>0.7907137907137907</v>
      </c>
      <c r="V22" s="6">
        <f t="shared" si="4"/>
        <v>0.6534996534996536</v>
      </c>
      <c r="W22" s="6">
        <f t="shared" si="5"/>
        <v>0.47124047124047125</v>
      </c>
      <c r="Y22" s="24">
        <f t="shared" si="18"/>
        <v>91.6</v>
      </c>
      <c r="Z22" s="24">
        <f t="shared" si="19"/>
        <v>83.3</v>
      </c>
      <c r="AA22" s="24">
        <f t="shared" si="20"/>
        <v>73.3</v>
      </c>
      <c r="AB22" s="24">
        <f t="shared" si="21"/>
        <v>61</v>
      </c>
      <c r="AC22" s="24">
        <f t="shared" si="22"/>
        <v>44</v>
      </c>
      <c r="AE22" s="6">
        <f t="shared" si="11"/>
        <v>0.9159999999999999</v>
      </c>
      <c r="AF22" s="6">
        <f t="shared" si="12"/>
        <v>0.9093886462882096</v>
      </c>
      <c r="AG22" s="6">
        <f t="shared" si="13"/>
        <v>0.8002183406113538</v>
      </c>
      <c r="AH22" s="6">
        <f t="shared" si="14"/>
        <v>0.665938864628821</v>
      </c>
      <c r="AI22" s="6">
        <f t="shared" si="15"/>
        <v>0.48034934497816595</v>
      </c>
      <c r="AN22" s="9"/>
      <c r="AO22" s="24"/>
      <c r="AP22" s="24"/>
      <c r="AS22" s="24"/>
      <c r="AT22" s="24"/>
      <c r="AX22" s="9"/>
    </row>
    <row r="23" spans="1:50" ht="12">
      <c r="A23">
        <v>17</v>
      </c>
      <c r="B23">
        <v>91</v>
      </c>
      <c r="C23" s="9">
        <f t="shared" si="16"/>
        <v>67.5</v>
      </c>
      <c r="D23" s="24">
        <f>AVERAGE(B$7:B23)</f>
        <v>67.3529411764706</v>
      </c>
      <c r="E23" s="24">
        <f t="shared" si="17"/>
        <v>67.7</v>
      </c>
      <c r="G23">
        <v>99</v>
      </c>
      <c r="H23">
        <v>98</v>
      </c>
      <c r="I23">
        <v>96</v>
      </c>
      <c r="J23">
        <v>91</v>
      </c>
      <c r="K23">
        <v>75</v>
      </c>
      <c r="M23" s="9">
        <f>AVERAGE(G$7:G23)</f>
        <v>90.70588235294117</v>
      </c>
      <c r="N23" s="9">
        <f>AVERAGE(H$7:H23)</f>
        <v>82.3529411764706</v>
      </c>
      <c r="O23" s="9">
        <f>AVERAGE(I$7:I23)</f>
        <v>72.76470588235294</v>
      </c>
      <c r="P23" s="9">
        <f>AVERAGE(J$7:J23)</f>
        <v>60.8235294117647</v>
      </c>
      <c r="Q23" s="9">
        <f>AVERAGE(K$7:K23)</f>
        <v>44.411764705882355</v>
      </c>
      <c r="S23" s="9">
        <f t="shared" si="1"/>
        <v>90.70588235294117</v>
      </c>
      <c r="T23" s="6">
        <f t="shared" si="2"/>
        <v>0.9079118028534372</v>
      </c>
      <c r="U23" s="6">
        <f t="shared" si="3"/>
        <v>0.8022049286640727</v>
      </c>
      <c r="V23" s="6">
        <f t="shared" si="4"/>
        <v>0.6705577172503242</v>
      </c>
      <c r="W23" s="6">
        <f t="shared" si="5"/>
        <v>0.48962386511024647</v>
      </c>
      <c r="Y23" s="24">
        <f t="shared" si="18"/>
        <v>91.6</v>
      </c>
      <c r="Z23" s="24">
        <f t="shared" si="19"/>
        <v>83.3</v>
      </c>
      <c r="AA23" s="24">
        <f t="shared" si="20"/>
        <v>73.3</v>
      </c>
      <c r="AB23" s="24">
        <f t="shared" si="21"/>
        <v>61</v>
      </c>
      <c r="AC23" s="24">
        <f t="shared" si="22"/>
        <v>44</v>
      </c>
      <c r="AE23" s="6">
        <f t="shared" si="11"/>
        <v>0.9159999999999999</v>
      </c>
      <c r="AF23" s="6">
        <f t="shared" si="12"/>
        <v>0.9093886462882096</v>
      </c>
      <c r="AG23" s="6">
        <f t="shared" si="13"/>
        <v>0.8002183406113538</v>
      </c>
      <c r="AH23" s="6">
        <f t="shared" si="14"/>
        <v>0.665938864628821</v>
      </c>
      <c r="AI23" s="6">
        <f t="shared" si="15"/>
        <v>0.48034934497816595</v>
      </c>
      <c r="AN23" s="9"/>
      <c r="AO23" s="24"/>
      <c r="AP23" s="24"/>
      <c r="AS23" s="24"/>
      <c r="AT23" s="24"/>
      <c r="AX23" s="9"/>
    </row>
    <row r="24" spans="1:50" ht="12">
      <c r="A24">
        <v>18</v>
      </c>
      <c r="B24">
        <v>82</v>
      </c>
      <c r="C24" s="9">
        <f t="shared" si="16"/>
        <v>67.7</v>
      </c>
      <c r="D24" s="24">
        <f>AVERAGE(B$7:B24)</f>
        <v>68.16666666666667</v>
      </c>
      <c r="E24" s="24">
        <f t="shared" si="17"/>
        <v>67.7</v>
      </c>
      <c r="G24">
        <v>99</v>
      </c>
      <c r="H24">
        <v>96</v>
      </c>
      <c r="I24">
        <v>90</v>
      </c>
      <c r="J24">
        <v>79</v>
      </c>
      <c r="K24">
        <v>54</v>
      </c>
      <c r="M24" s="9">
        <f>AVERAGE(G$7:G24)</f>
        <v>91.16666666666667</v>
      </c>
      <c r="N24" s="9">
        <f>AVERAGE(H$7:H24)</f>
        <v>83.11111111111111</v>
      </c>
      <c r="O24" s="9">
        <f>AVERAGE(I$7:I24)</f>
        <v>73.72222222222223</v>
      </c>
      <c r="P24" s="9">
        <f>AVERAGE(J$7:J24)</f>
        <v>61.833333333333336</v>
      </c>
      <c r="Q24" s="9">
        <f>AVERAGE(K$7:K24)</f>
        <v>44.94444444444444</v>
      </c>
      <c r="S24" s="9">
        <f t="shared" si="1"/>
        <v>91.16666666666667</v>
      </c>
      <c r="T24" s="6">
        <f t="shared" si="2"/>
        <v>0.9116392443631932</v>
      </c>
      <c r="U24" s="6">
        <f t="shared" si="3"/>
        <v>0.8086532602071907</v>
      </c>
      <c r="V24" s="6">
        <f t="shared" si="4"/>
        <v>0.6782449725776966</v>
      </c>
      <c r="W24" s="6">
        <f t="shared" si="5"/>
        <v>0.49299207800121875</v>
      </c>
      <c r="Y24" s="24">
        <f t="shared" si="18"/>
        <v>91.6</v>
      </c>
      <c r="Z24" s="24">
        <f t="shared" si="19"/>
        <v>83.3</v>
      </c>
      <c r="AA24" s="24">
        <f t="shared" si="20"/>
        <v>73.3</v>
      </c>
      <c r="AB24" s="24">
        <f t="shared" si="21"/>
        <v>61</v>
      </c>
      <c r="AC24" s="24">
        <f t="shared" si="22"/>
        <v>44</v>
      </c>
      <c r="AE24" s="6">
        <f t="shared" si="11"/>
        <v>0.9159999999999999</v>
      </c>
      <c r="AF24" s="6">
        <f t="shared" si="12"/>
        <v>0.9093886462882096</v>
      </c>
      <c r="AG24" s="6">
        <f t="shared" si="13"/>
        <v>0.8002183406113538</v>
      </c>
      <c r="AH24" s="6">
        <f t="shared" si="14"/>
        <v>0.665938864628821</v>
      </c>
      <c r="AI24" s="6">
        <f t="shared" si="15"/>
        <v>0.48034934497816595</v>
      </c>
      <c r="AN24" s="9"/>
      <c r="AO24" s="24"/>
      <c r="AP24" s="24"/>
      <c r="AS24" s="24"/>
      <c r="AT24" s="24"/>
      <c r="AX24" s="9"/>
    </row>
    <row r="25" spans="1:50" ht="12">
      <c r="A25">
        <v>19</v>
      </c>
      <c r="B25">
        <v>82</v>
      </c>
      <c r="C25" s="9">
        <f t="shared" si="16"/>
        <v>69</v>
      </c>
      <c r="D25" s="24">
        <f>AVERAGE(B$7:B25)</f>
        <v>68.89473684210526</v>
      </c>
      <c r="E25" s="24">
        <f t="shared" si="17"/>
        <v>67.7</v>
      </c>
      <c r="G25">
        <v>98</v>
      </c>
      <c r="H25">
        <v>94</v>
      </c>
      <c r="I25">
        <v>88</v>
      </c>
      <c r="J25">
        <v>78</v>
      </c>
      <c r="K25">
        <v>61</v>
      </c>
      <c r="M25" s="9">
        <f>AVERAGE(G$7:G25)</f>
        <v>91.52631578947368</v>
      </c>
      <c r="N25" s="9">
        <f>AVERAGE(H$7:H25)</f>
        <v>83.6842105263158</v>
      </c>
      <c r="O25" s="9">
        <f>AVERAGE(I$7:I25)</f>
        <v>74.47368421052632</v>
      </c>
      <c r="P25" s="9">
        <f>AVERAGE(J$7:J25)</f>
        <v>62.68421052631579</v>
      </c>
      <c r="Q25" s="9">
        <f>AVERAGE(K$7:K25)</f>
        <v>45.78947368421053</v>
      </c>
      <c r="S25" s="9">
        <f t="shared" si="1"/>
        <v>91.52631578947368</v>
      </c>
      <c r="T25" s="6">
        <f t="shared" si="2"/>
        <v>0.914318573893042</v>
      </c>
      <c r="U25" s="6">
        <f t="shared" si="3"/>
        <v>0.8136860264519838</v>
      </c>
      <c r="V25" s="6">
        <f t="shared" si="4"/>
        <v>0.6848763657274295</v>
      </c>
      <c r="W25" s="6">
        <f t="shared" si="5"/>
        <v>0.5002875215641173</v>
      </c>
      <c r="Y25" s="24">
        <f t="shared" si="18"/>
        <v>91.6</v>
      </c>
      <c r="Z25" s="24">
        <f t="shared" si="19"/>
        <v>83.3</v>
      </c>
      <c r="AA25" s="24">
        <f t="shared" si="20"/>
        <v>73.3</v>
      </c>
      <c r="AB25" s="24">
        <f t="shared" si="21"/>
        <v>61</v>
      </c>
      <c r="AC25" s="24">
        <f t="shared" si="22"/>
        <v>44</v>
      </c>
      <c r="AE25" s="6">
        <f t="shared" si="11"/>
        <v>0.9159999999999999</v>
      </c>
      <c r="AF25" s="6">
        <f t="shared" si="12"/>
        <v>0.9093886462882096</v>
      </c>
      <c r="AG25" s="6">
        <f t="shared" si="13"/>
        <v>0.8002183406113538</v>
      </c>
      <c r="AH25" s="6">
        <f t="shared" si="14"/>
        <v>0.665938864628821</v>
      </c>
      <c r="AI25" s="6">
        <f t="shared" si="15"/>
        <v>0.48034934497816595</v>
      </c>
      <c r="AN25" s="9"/>
      <c r="AO25" s="24"/>
      <c r="AP25" s="24"/>
      <c r="AS25" s="24"/>
      <c r="AT25" s="24"/>
      <c r="AX25" s="9"/>
    </row>
    <row r="26" spans="1:50" ht="12">
      <c r="A26">
        <v>20</v>
      </c>
      <c r="B26">
        <v>43</v>
      </c>
      <c r="C26" s="9">
        <f t="shared" si="16"/>
        <v>67.7</v>
      </c>
      <c r="D26" s="24">
        <f>AVERAGE(B$7:B26)</f>
        <v>67.6</v>
      </c>
      <c r="E26" s="24">
        <f t="shared" si="17"/>
        <v>67.7</v>
      </c>
      <c r="G26">
        <v>79</v>
      </c>
      <c r="H26">
        <v>63</v>
      </c>
      <c r="I26">
        <v>46</v>
      </c>
      <c r="J26">
        <v>31</v>
      </c>
      <c r="K26">
        <v>20</v>
      </c>
      <c r="M26" s="9">
        <f>AVERAGE(G$7:G26)</f>
        <v>90.9</v>
      </c>
      <c r="N26" s="9">
        <f>AVERAGE(H$7:H26)</f>
        <v>82.65</v>
      </c>
      <c r="O26" s="9">
        <f>AVERAGE(I$7:I26)</f>
        <v>73.05</v>
      </c>
      <c r="P26" s="9">
        <f>AVERAGE(J$7:J26)</f>
        <v>61.1</v>
      </c>
      <c r="Q26" s="9">
        <f>AVERAGE(K$7:K26)</f>
        <v>44.5</v>
      </c>
      <c r="S26" s="9">
        <f t="shared" si="1"/>
        <v>90.9</v>
      </c>
      <c r="T26" s="6">
        <f t="shared" si="2"/>
        <v>0.9092409240924092</v>
      </c>
      <c r="U26" s="6">
        <f t="shared" si="3"/>
        <v>0.8036303630363035</v>
      </c>
      <c r="V26" s="6">
        <f t="shared" si="4"/>
        <v>0.6721672167216721</v>
      </c>
      <c r="W26" s="6">
        <f t="shared" si="5"/>
        <v>0.4895489548954895</v>
      </c>
      <c r="Y26" s="24">
        <f t="shared" si="18"/>
        <v>91.6</v>
      </c>
      <c r="Z26" s="24">
        <f t="shared" si="19"/>
        <v>83.3</v>
      </c>
      <c r="AA26" s="24">
        <f t="shared" si="20"/>
        <v>73.3</v>
      </c>
      <c r="AB26" s="24">
        <f t="shared" si="21"/>
        <v>61</v>
      </c>
      <c r="AC26" s="24">
        <f t="shared" si="22"/>
        <v>44</v>
      </c>
      <c r="AE26" s="6">
        <f t="shared" si="11"/>
        <v>0.9159999999999999</v>
      </c>
      <c r="AF26" s="6">
        <f t="shared" si="12"/>
        <v>0.9093886462882096</v>
      </c>
      <c r="AG26" s="6">
        <f t="shared" si="13"/>
        <v>0.8002183406113538</v>
      </c>
      <c r="AH26" s="6">
        <f t="shared" si="14"/>
        <v>0.665938864628821</v>
      </c>
      <c r="AI26" s="6">
        <f t="shared" si="15"/>
        <v>0.48034934497816595</v>
      </c>
      <c r="AN26" s="9"/>
      <c r="AO26" s="24"/>
      <c r="AP26" s="24"/>
      <c r="AS26" s="24"/>
      <c r="AT26" s="24"/>
      <c r="AX26" s="9"/>
    </row>
    <row r="27" spans="1:50" ht="12">
      <c r="A27">
        <v>21</v>
      </c>
      <c r="B27">
        <v>29</v>
      </c>
      <c r="C27" s="9">
        <f t="shared" si="16"/>
        <v>65.3</v>
      </c>
      <c r="D27" s="24">
        <f>AVERAGE(B$7:B27)</f>
        <v>65.76190476190476</v>
      </c>
      <c r="E27" s="24">
        <f aca="true" t="shared" si="23" ref="E27:E36">AVERAGE(B$27:B$36)</f>
        <v>55.8</v>
      </c>
      <c r="G27">
        <v>56</v>
      </c>
      <c r="H27">
        <v>38</v>
      </c>
      <c r="I27">
        <v>29</v>
      </c>
      <c r="J27">
        <v>22</v>
      </c>
      <c r="K27">
        <v>14</v>
      </c>
      <c r="M27" s="9">
        <f>AVERAGE(G$7:G27)</f>
        <v>89.23809523809524</v>
      </c>
      <c r="N27" s="9">
        <f>AVERAGE(H$7:H27)</f>
        <v>80.52380952380952</v>
      </c>
      <c r="O27" s="9">
        <f>AVERAGE(I$7:I27)</f>
        <v>70.95238095238095</v>
      </c>
      <c r="P27" s="9">
        <f>AVERAGE(J$7:J27)</f>
        <v>59.23809523809524</v>
      </c>
      <c r="Q27" s="9">
        <f>AVERAGE(K$7:K27)</f>
        <v>43.04761904761905</v>
      </c>
      <c r="S27" s="9">
        <f t="shared" si="1"/>
        <v>89.23809523809524</v>
      </c>
      <c r="T27" s="6">
        <f t="shared" si="2"/>
        <v>0.9023479188900746</v>
      </c>
      <c r="U27" s="6">
        <f t="shared" si="3"/>
        <v>0.7950907150480255</v>
      </c>
      <c r="V27" s="6">
        <f t="shared" si="4"/>
        <v>0.663820704375667</v>
      </c>
      <c r="W27" s="6">
        <f t="shared" si="5"/>
        <v>0.48239060832443975</v>
      </c>
      <c r="Y27" s="24">
        <f aca="true" t="shared" si="24" ref="Y27:Y36">AVERAGE(G$27:G$36)</f>
        <v>79.3</v>
      </c>
      <c r="Z27" s="24">
        <f aca="true" t="shared" si="25" ref="Z27:Z36">AVERAGE(H$27:H$36)</f>
        <v>69.8</v>
      </c>
      <c r="AA27" s="24">
        <f aca="true" t="shared" si="26" ref="AA27:AA36">AVERAGE(I$27:I$36)</f>
        <v>60.2</v>
      </c>
      <c r="AB27" s="24">
        <f aca="true" t="shared" si="27" ref="AB27:AB36">AVERAGE(J$27:J$36)</f>
        <v>49.4</v>
      </c>
      <c r="AC27" s="24">
        <f aca="true" t="shared" si="28" ref="AC27:AC36">AVERAGE(K$27:K$36)</f>
        <v>33.8</v>
      </c>
      <c r="AE27" s="6">
        <f t="shared" si="11"/>
        <v>0.793</v>
      </c>
      <c r="AF27" s="6">
        <f t="shared" si="12"/>
        <v>0.880201765447667</v>
      </c>
      <c r="AG27" s="6">
        <f t="shared" si="13"/>
        <v>0.759142496847415</v>
      </c>
      <c r="AH27" s="6">
        <f t="shared" si="14"/>
        <v>0.6229508196721312</v>
      </c>
      <c r="AI27" s="6">
        <f t="shared" si="15"/>
        <v>0.4262295081967213</v>
      </c>
      <c r="AN27" s="9"/>
      <c r="AO27" s="24"/>
      <c r="AP27" s="24"/>
      <c r="AS27" s="24"/>
      <c r="AT27" s="24"/>
      <c r="AX27" s="9"/>
    </row>
    <row r="28" spans="1:50" ht="12">
      <c r="A28">
        <v>22</v>
      </c>
      <c r="B28">
        <v>65</v>
      </c>
      <c r="C28" s="9">
        <f t="shared" si="16"/>
        <v>66</v>
      </c>
      <c r="D28" s="24">
        <f>AVERAGE(B$7:B28)</f>
        <v>65.72727272727273</v>
      </c>
      <c r="E28" s="24">
        <f t="shared" si="23"/>
        <v>55.8</v>
      </c>
      <c r="G28">
        <v>96</v>
      </c>
      <c r="H28">
        <v>88</v>
      </c>
      <c r="I28">
        <v>75</v>
      </c>
      <c r="J28">
        <v>56</v>
      </c>
      <c r="K28">
        <v>30</v>
      </c>
      <c r="M28" s="9">
        <f>AVERAGE(G$7:G28)</f>
        <v>89.54545454545455</v>
      </c>
      <c r="N28" s="9">
        <f>AVERAGE(H$7:H28)</f>
        <v>80.86363636363636</v>
      </c>
      <c r="O28" s="9">
        <f>AVERAGE(I$7:I28)</f>
        <v>71.13636363636364</v>
      </c>
      <c r="P28" s="9">
        <f>AVERAGE(J$7:J28)</f>
        <v>59.09090909090909</v>
      </c>
      <c r="Q28" s="9">
        <f>AVERAGE(K$7:K28)</f>
        <v>42.45454545454545</v>
      </c>
      <c r="S28" s="9">
        <f t="shared" si="1"/>
        <v>89.54545454545455</v>
      </c>
      <c r="T28" s="6">
        <f t="shared" si="2"/>
        <v>0.9030456852791877</v>
      </c>
      <c r="U28" s="6">
        <f t="shared" si="3"/>
        <v>0.7944162436548223</v>
      </c>
      <c r="V28" s="6">
        <f t="shared" si="4"/>
        <v>0.6598984771573604</v>
      </c>
      <c r="W28" s="6">
        <f t="shared" si="5"/>
        <v>0.47411167512690355</v>
      </c>
      <c r="Y28" s="24">
        <f t="shared" si="24"/>
        <v>79.3</v>
      </c>
      <c r="Z28" s="24">
        <f t="shared" si="25"/>
        <v>69.8</v>
      </c>
      <c r="AA28" s="24">
        <f t="shared" si="26"/>
        <v>60.2</v>
      </c>
      <c r="AB28" s="24">
        <f t="shared" si="27"/>
        <v>49.4</v>
      </c>
      <c r="AC28" s="24">
        <f t="shared" si="28"/>
        <v>33.8</v>
      </c>
      <c r="AE28" s="6">
        <f t="shared" si="11"/>
        <v>0.793</v>
      </c>
      <c r="AF28" s="6">
        <f t="shared" si="12"/>
        <v>0.880201765447667</v>
      </c>
      <c r="AG28" s="6">
        <f t="shared" si="13"/>
        <v>0.759142496847415</v>
      </c>
      <c r="AH28" s="6">
        <f t="shared" si="14"/>
        <v>0.6229508196721312</v>
      </c>
      <c r="AI28" s="6">
        <f t="shared" si="15"/>
        <v>0.4262295081967213</v>
      </c>
      <c r="AN28" s="9"/>
      <c r="AO28" s="24"/>
      <c r="AP28" s="24"/>
      <c r="AS28" s="24"/>
      <c r="AT28" s="24"/>
      <c r="AX28" s="9"/>
    </row>
    <row r="29" spans="1:50" ht="12">
      <c r="A29">
        <v>23</v>
      </c>
      <c r="B29">
        <v>69</v>
      </c>
      <c r="C29" s="9">
        <f t="shared" si="16"/>
        <v>66.9</v>
      </c>
      <c r="D29" s="24">
        <f>AVERAGE(B$7:B29)</f>
        <v>65.8695652173913</v>
      </c>
      <c r="E29" s="24">
        <f t="shared" si="23"/>
        <v>55.8</v>
      </c>
      <c r="G29">
        <v>91</v>
      </c>
      <c r="H29">
        <v>85</v>
      </c>
      <c r="I29">
        <v>76</v>
      </c>
      <c r="J29">
        <v>63</v>
      </c>
      <c r="K29">
        <v>41</v>
      </c>
      <c r="M29" s="9">
        <f>AVERAGE(G$7:G29)</f>
        <v>89.6086956521739</v>
      </c>
      <c r="N29" s="9">
        <f>AVERAGE(H$7:H29)</f>
        <v>81.04347826086956</v>
      </c>
      <c r="O29" s="9">
        <f>AVERAGE(I$7:I29)</f>
        <v>71.34782608695652</v>
      </c>
      <c r="P29" s="9">
        <f>AVERAGE(J$7:J29)</f>
        <v>59.26086956521739</v>
      </c>
      <c r="Q29" s="9">
        <f>AVERAGE(K$7:K29)</f>
        <v>42.391304347826086</v>
      </c>
      <c r="S29" s="9">
        <f t="shared" si="1"/>
        <v>89.6086956521739</v>
      </c>
      <c r="T29" s="6">
        <f t="shared" si="2"/>
        <v>0.9044153323629307</v>
      </c>
      <c r="U29" s="6">
        <f t="shared" si="3"/>
        <v>0.7962154294032023</v>
      </c>
      <c r="V29" s="6">
        <f t="shared" si="4"/>
        <v>0.6613294517224648</v>
      </c>
      <c r="W29" s="6">
        <f t="shared" si="5"/>
        <v>0.4730713245997089</v>
      </c>
      <c r="Y29" s="24">
        <f t="shared" si="24"/>
        <v>79.3</v>
      </c>
      <c r="Z29" s="24">
        <f t="shared" si="25"/>
        <v>69.8</v>
      </c>
      <c r="AA29" s="24">
        <f t="shared" si="26"/>
        <v>60.2</v>
      </c>
      <c r="AB29" s="24">
        <f t="shared" si="27"/>
        <v>49.4</v>
      </c>
      <c r="AC29" s="24">
        <f t="shared" si="28"/>
        <v>33.8</v>
      </c>
      <c r="AE29" s="6">
        <f t="shared" si="11"/>
        <v>0.793</v>
      </c>
      <c r="AF29" s="6">
        <f t="shared" si="12"/>
        <v>0.880201765447667</v>
      </c>
      <c r="AG29" s="6">
        <f t="shared" si="13"/>
        <v>0.759142496847415</v>
      </c>
      <c r="AH29" s="6">
        <f t="shared" si="14"/>
        <v>0.6229508196721312</v>
      </c>
      <c r="AI29" s="6">
        <f t="shared" si="15"/>
        <v>0.4262295081967213</v>
      </c>
      <c r="AN29" s="9"/>
      <c r="AO29" s="24"/>
      <c r="AP29" s="24"/>
      <c r="AS29" s="24"/>
      <c r="AT29" s="24"/>
      <c r="AX29" s="9"/>
    </row>
    <row r="30" spans="1:50" ht="12">
      <c r="A30">
        <v>24</v>
      </c>
      <c r="B30">
        <v>50</v>
      </c>
      <c r="C30" s="9">
        <f t="shared" si="16"/>
        <v>66.3</v>
      </c>
      <c r="D30" s="24">
        <f>AVERAGE(B$7:B30)</f>
        <v>65.20833333333333</v>
      </c>
      <c r="E30" s="24">
        <f t="shared" si="23"/>
        <v>55.8</v>
      </c>
      <c r="G30">
        <v>89</v>
      </c>
      <c r="H30">
        <v>74</v>
      </c>
      <c r="I30">
        <v>55</v>
      </c>
      <c r="J30">
        <v>37</v>
      </c>
      <c r="K30">
        <v>19</v>
      </c>
      <c r="M30" s="9">
        <f>AVERAGE(G$7:G30)</f>
        <v>89.58333333333333</v>
      </c>
      <c r="N30" s="9">
        <f>AVERAGE(H$7:H30)</f>
        <v>80.75</v>
      </c>
      <c r="O30" s="9">
        <f>AVERAGE(I$7:I30)</f>
        <v>70.66666666666667</v>
      </c>
      <c r="P30" s="9">
        <f>AVERAGE(J$7:J30)</f>
        <v>58.333333333333336</v>
      </c>
      <c r="Q30" s="9">
        <f>AVERAGE(K$7:K30)</f>
        <v>41.416666666666664</v>
      </c>
      <c r="S30" s="9">
        <f t="shared" si="1"/>
        <v>89.58333333333333</v>
      </c>
      <c r="T30" s="6">
        <f t="shared" si="2"/>
        <v>0.9013953488372094</v>
      </c>
      <c r="U30" s="6">
        <f t="shared" si="3"/>
        <v>0.7888372093023257</v>
      </c>
      <c r="V30" s="6">
        <f t="shared" si="4"/>
        <v>0.6511627906976745</v>
      </c>
      <c r="W30" s="6">
        <f t="shared" si="5"/>
        <v>0.46232558139534885</v>
      </c>
      <c r="Y30" s="24">
        <f t="shared" si="24"/>
        <v>79.3</v>
      </c>
      <c r="Z30" s="24">
        <f t="shared" si="25"/>
        <v>69.8</v>
      </c>
      <c r="AA30" s="24">
        <f t="shared" si="26"/>
        <v>60.2</v>
      </c>
      <c r="AB30" s="24">
        <f t="shared" si="27"/>
        <v>49.4</v>
      </c>
      <c r="AC30" s="24">
        <f t="shared" si="28"/>
        <v>33.8</v>
      </c>
      <c r="AE30" s="6">
        <f t="shared" si="11"/>
        <v>0.793</v>
      </c>
      <c r="AF30" s="6">
        <f t="shared" si="12"/>
        <v>0.880201765447667</v>
      </c>
      <c r="AG30" s="6">
        <f t="shared" si="13"/>
        <v>0.759142496847415</v>
      </c>
      <c r="AH30" s="6">
        <f t="shared" si="14"/>
        <v>0.6229508196721312</v>
      </c>
      <c r="AI30" s="6">
        <f t="shared" si="15"/>
        <v>0.4262295081967213</v>
      </c>
      <c r="AN30" s="9"/>
      <c r="AO30" s="24"/>
      <c r="AP30" s="24"/>
      <c r="AS30" s="24"/>
      <c r="AT30" s="24"/>
      <c r="AX30" s="9"/>
    </row>
    <row r="31" spans="1:50" ht="12">
      <c r="A31">
        <v>25</v>
      </c>
      <c r="B31">
        <v>26</v>
      </c>
      <c r="C31" s="9">
        <f t="shared" si="16"/>
        <v>61.3</v>
      </c>
      <c r="D31" s="24">
        <f>AVERAGE(B$7:B31)</f>
        <v>63.64</v>
      </c>
      <c r="E31" s="24">
        <f t="shared" si="23"/>
        <v>55.8</v>
      </c>
      <c r="G31">
        <v>39</v>
      </c>
      <c r="H31">
        <v>28</v>
      </c>
      <c r="I31">
        <v>24</v>
      </c>
      <c r="J31">
        <v>24</v>
      </c>
      <c r="K31">
        <v>12</v>
      </c>
      <c r="M31" s="9">
        <f>AVERAGE(G$7:G31)</f>
        <v>87.56</v>
      </c>
      <c r="N31" s="9">
        <f>AVERAGE(H$7:H31)</f>
        <v>78.64</v>
      </c>
      <c r="O31" s="9">
        <f>AVERAGE(I$7:I31)</f>
        <v>68.8</v>
      </c>
      <c r="P31" s="9">
        <f>AVERAGE(J$7:J31)</f>
        <v>56.96</v>
      </c>
      <c r="Q31" s="9">
        <f>AVERAGE(K$7:K31)</f>
        <v>40.24</v>
      </c>
      <c r="S31" s="9">
        <f t="shared" si="1"/>
        <v>87.56</v>
      </c>
      <c r="T31" s="6">
        <f t="shared" si="2"/>
        <v>0.8981269986295112</v>
      </c>
      <c r="U31" s="6">
        <f t="shared" si="3"/>
        <v>0.7857469164001827</v>
      </c>
      <c r="V31" s="6">
        <f t="shared" si="4"/>
        <v>0.650525354042942</v>
      </c>
      <c r="W31" s="6">
        <f t="shared" si="5"/>
        <v>0.45957058017359526</v>
      </c>
      <c r="Y31" s="24">
        <f t="shared" si="24"/>
        <v>79.3</v>
      </c>
      <c r="Z31" s="24">
        <f t="shared" si="25"/>
        <v>69.8</v>
      </c>
      <c r="AA31" s="24">
        <f t="shared" si="26"/>
        <v>60.2</v>
      </c>
      <c r="AB31" s="24">
        <f t="shared" si="27"/>
        <v>49.4</v>
      </c>
      <c r="AC31" s="24">
        <f t="shared" si="28"/>
        <v>33.8</v>
      </c>
      <c r="AE31" s="6">
        <f t="shared" si="11"/>
        <v>0.793</v>
      </c>
      <c r="AF31" s="6">
        <f t="shared" si="12"/>
        <v>0.880201765447667</v>
      </c>
      <c r="AG31" s="6">
        <f t="shared" si="13"/>
        <v>0.759142496847415</v>
      </c>
      <c r="AH31" s="6">
        <f t="shared" si="14"/>
        <v>0.6229508196721312</v>
      </c>
      <c r="AI31" s="6">
        <f t="shared" si="15"/>
        <v>0.4262295081967213</v>
      </c>
      <c r="AN31" s="9"/>
      <c r="AO31" s="24"/>
      <c r="AP31" s="24"/>
      <c r="AS31" s="24"/>
      <c r="AT31" s="24"/>
      <c r="AX31" s="9"/>
    </row>
    <row r="32" spans="1:50" ht="12">
      <c r="A32">
        <v>26</v>
      </c>
      <c r="B32">
        <v>39</v>
      </c>
      <c r="C32" s="9">
        <f t="shared" si="16"/>
        <v>57.6</v>
      </c>
      <c r="D32" s="24">
        <f>AVERAGE(B$7:B32)</f>
        <v>62.69230769230769</v>
      </c>
      <c r="E32" s="24">
        <f t="shared" si="23"/>
        <v>55.8</v>
      </c>
      <c r="G32">
        <v>48</v>
      </c>
      <c r="H32">
        <v>42</v>
      </c>
      <c r="I32">
        <v>40</v>
      </c>
      <c r="J32">
        <v>38</v>
      </c>
      <c r="K32">
        <v>34</v>
      </c>
      <c r="M32" s="9">
        <f>AVERAGE(G$7:G32)</f>
        <v>86.03846153846153</v>
      </c>
      <c r="N32" s="9">
        <f>AVERAGE(H$7:H32)</f>
        <v>77.23076923076923</v>
      </c>
      <c r="O32" s="9">
        <f>AVERAGE(I$7:I32)</f>
        <v>67.6923076923077</v>
      </c>
      <c r="P32" s="9">
        <f>AVERAGE(J$7:J32)</f>
        <v>56.23076923076923</v>
      </c>
      <c r="Q32" s="9">
        <f>AVERAGE(K$7:K32)</f>
        <v>40</v>
      </c>
      <c r="S32" s="9">
        <f t="shared" si="1"/>
        <v>86.03846153846153</v>
      </c>
      <c r="T32" s="6">
        <f t="shared" si="2"/>
        <v>0.8976307554760841</v>
      </c>
      <c r="U32" s="6">
        <f t="shared" si="3"/>
        <v>0.7867679928475637</v>
      </c>
      <c r="V32" s="6">
        <f t="shared" si="4"/>
        <v>0.653553866785874</v>
      </c>
      <c r="W32" s="6">
        <f t="shared" si="5"/>
        <v>0.46490835940992403</v>
      </c>
      <c r="Y32" s="24">
        <f t="shared" si="24"/>
        <v>79.3</v>
      </c>
      <c r="Z32" s="24">
        <f t="shared" si="25"/>
        <v>69.8</v>
      </c>
      <c r="AA32" s="24">
        <f t="shared" si="26"/>
        <v>60.2</v>
      </c>
      <c r="AB32" s="24">
        <f t="shared" si="27"/>
        <v>49.4</v>
      </c>
      <c r="AC32" s="24">
        <f t="shared" si="28"/>
        <v>33.8</v>
      </c>
      <c r="AE32" s="6">
        <f t="shared" si="11"/>
        <v>0.793</v>
      </c>
      <c r="AF32" s="6">
        <f t="shared" si="12"/>
        <v>0.880201765447667</v>
      </c>
      <c r="AG32" s="6">
        <f t="shared" si="13"/>
        <v>0.759142496847415</v>
      </c>
      <c r="AH32" s="6">
        <f t="shared" si="14"/>
        <v>0.6229508196721312</v>
      </c>
      <c r="AI32" s="6">
        <f t="shared" si="15"/>
        <v>0.4262295081967213</v>
      </c>
      <c r="AN32" s="9"/>
      <c r="AO32" s="24"/>
      <c r="AP32" s="24"/>
      <c r="AS32" s="24"/>
      <c r="AT32" s="24"/>
      <c r="AX32" s="9"/>
    </row>
    <row r="33" spans="1:50" ht="12">
      <c r="A33">
        <v>27</v>
      </c>
      <c r="B33">
        <v>73</v>
      </c>
      <c r="C33" s="9">
        <f t="shared" si="16"/>
        <v>55.8</v>
      </c>
      <c r="D33" s="24">
        <f>AVERAGE(B$7:B33)</f>
        <v>63.074074074074076</v>
      </c>
      <c r="E33" s="24">
        <f t="shared" si="23"/>
        <v>55.8</v>
      </c>
      <c r="G33">
        <v>95</v>
      </c>
      <c r="H33">
        <v>89</v>
      </c>
      <c r="I33">
        <v>80</v>
      </c>
      <c r="J33">
        <v>68</v>
      </c>
      <c r="K33">
        <v>48</v>
      </c>
      <c r="M33" s="9">
        <f>AVERAGE(G$7:G33)</f>
        <v>86.37037037037037</v>
      </c>
      <c r="N33" s="9">
        <f>AVERAGE(H$7:H33)</f>
        <v>77.66666666666667</v>
      </c>
      <c r="O33" s="9">
        <f>AVERAGE(I$7:I33)</f>
        <v>68.14814814814815</v>
      </c>
      <c r="P33" s="9">
        <f>AVERAGE(J$7:J33)</f>
        <v>56.666666666666664</v>
      </c>
      <c r="Q33" s="9">
        <f>AVERAGE(K$7:K33)</f>
        <v>40.2962962962963</v>
      </c>
      <c r="S33" s="9">
        <f t="shared" si="1"/>
        <v>86.37037037037037</v>
      </c>
      <c r="T33" s="6">
        <f t="shared" si="2"/>
        <v>0.8992281303602059</v>
      </c>
      <c r="U33" s="6">
        <f t="shared" si="3"/>
        <v>0.7890222984562608</v>
      </c>
      <c r="V33" s="6">
        <f t="shared" si="4"/>
        <v>0.6560891938250428</v>
      </c>
      <c r="W33" s="6">
        <f t="shared" si="5"/>
        <v>0.4665523156089194</v>
      </c>
      <c r="Y33" s="24">
        <f t="shared" si="24"/>
        <v>79.3</v>
      </c>
      <c r="Z33" s="24">
        <f t="shared" si="25"/>
        <v>69.8</v>
      </c>
      <c r="AA33" s="24">
        <f t="shared" si="26"/>
        <v>60.2</v>
      </c>
      <c r="AB33" s="24">
        <f t="shared" si="27"/>
        <v>49.4</v>
      </c>
      <c r="AC33" s="24">
        <f t="shared" si="28"/>
        <v>33.8</v>
      </c>
      <c r="AE33" s="6">
        <f t="shared" si="11"/>
        <v>0.793</v>
      </c>
      <c r="AF33" s="6">
        <f t="shared" si="12"/>
        <v>0.880201765447667</v>
      </c>
      <c r="AG33" s="6">
        <f t="shared" si="13"/>
        <v>0.759142496847415</v>
      </c>
      <c r="AH33" s="6">
        <f t="shared" si="14"/>
        <v>0.6229508196721312</v>
      </c>
      <c r="AI33" s="6">
        <f t="shared" si="15"/>
        <v>0.4262295081967213</v>
      </c>
      <c r="AN33" s="9"/>
      <c r="AO33" s="24"/>
      <c r="AP33" s="24"/>
      <c r="AS33" s="24"/>
      <c r="AT33" s="24"/>
      <c r="AX33" s="9"/>
    </row>
    <row r="34" spans="1:50" ht="12">
      <c r="A34">
        <v>28</v>
      </c>
      <c r="B34">
        <v>85</v>
      </c>
      <c r="C34" s="9">
        <f t="shared" si="16"/>
        <v>56.1</v>
      </c>
      <c r="D34" s="24">
        <f>AVERAGE(B$7:B34)</f>
        <v>63.857142857142854</v>
      </c>
      <c r="E34" s="24">
        <f t="shared" si="23"/>
        <v>55.8</v>
      </c>
      <c r="G34">
        <v>99</v>
      </c>
      <c r="H34">
        <v>96</v>
      </c>
      <c r="I34">
        <v>92</v>
      </c>
      <c r="J34">
        <v>83</v>
      </c>
      <c r="K34">
        <v>63</v>
      </c>
      <c r="M34" s="9">
        <f>AVERAGE(G$7:G34)</f>
        <v>86.82142857142857</v>
      </c>
      <c r="N34" s="9">
        <f>AVERAGE(H$7:H34)</f>
        <v>78.32142857142857</v>
      </c>
      <c r="O34" s="9">
        <f>AVERAGE(I$7:I34)</f>
        <v>69</v>
      </c>
      <c r="P34" s="9">
        <f>AVERAGE(J$7:J34)</f>
        <v>57.607142857142854</v>
      </c>
      <c r="Q34" s="9">
        <f>AVERAGE(K$7:K34)</f>
        <v>41.107142857142854</v>
      </c>
      <c r="S34" s="9">
        <f t="shared" si="1"/>
        <v>86.82142857142857</v>
      </c>
      <c r="T34" s="6">
        <f t="shared" si="2"/>
        <v>0.9020979020979021</v>
      </c>
      <c r="U34" s="6">
        <f t="shared" si="3"/>
        <v>0.7947346770876182</v>
      </c>
      <c r="V34" s="6">
        <f t="shared" si="4"/>
        <v>0.6635129576306047</v>
      </c>
      <c r="W34" s="6">
        <f t="shared" si="5"/>
        <v>0.47346770876182637</v>
      </c>
      <c r="Y34" s="24">
        <f t="shared" si="24"/>
        <v>79.3</v>
      </c>
      <c r="Z34" s="24">
        <f t="shared" si="25"/>
        <v>69.8</v>
      </c>
      <c r="AA34" s="24">
        <f t="shared" si="26"/>
        <v>60.2</v>
      </c>
      <c r="AB34" s="24">
        <f t="shared" si="27"/>
        <v>49.4</v>
      </c>
      <c r="AC34" s="24">
        <f t="shared" si="28"/>
        <v>33.8</v>
      </c>
      <c r="AE34" s="6">
        <f t="shared" si="11"/>
        <v>0.793</v>
      </c>
      <c r="AF34" s="6">
        <f t="shared" si="12"/>
        <v>0.880201765447667</v>
      </c>
      <c r="AG34" s="6">
        <f t="shared" si="13"/>
        <v>0.759142496847415</v>
      </c>
      <c r="AH34" s="6">
        <f t="shared" si="14"/>
        <v>0.6229508196721312</v>
      </c>
      <c r="AI34" s="6">
        <f t="shared" si="15"/>
        <v>0.4262295081967213</v>
      </c>
      <c r="AN34" s="9"/>
      <c r="AO34" s="24"/>
      <c r="AP34" s="24"/>
      <c r="AS34" s="24"/>
      <c r="AT34" s="24"/>
      <c r="AX34" s="9"/>
    </row>
    <row r="35" spans="1:50" ht="12">
      <c r="A35">
        <v>29</v>
      </c>
      <c r="B35">
        <v>63</v>
      </c>
      <c r="C35" s="9">
        <f t="shared" si="16"/>
        <v>54.2</v>
      </c>
      <c r="D35" s="24">
        <f>AVERAGE(B$7:B35)</f>
        <v>63.827586206896555</v>
      </c>
      <c r="E35" s="24">
        <f t="shared" si="23"/>
        <v>55.8</v>
      </c>
      <c r="G35">
        <v>91</v>
      </c>
      <c r="H35">
        <v>81</v>
      </c>
      <c r="I35">
        <v>68</v>
      </c>
      <c r="J35">
        <v>54</v>
      </c>
      <c r="K35">
        <v>41</v>
      </c>
      <c r="M35" s="9">
        <f>AVERAGE(G$7:G35)</f>
        <v>86.96551724137932</v>
      </c>
      <c r="N35" s="9">
        <f>AVERAGE(H$7:H35)</f>
        <v>78.41379310344827</v>
      </c>
      <c r="O35" s="9">
        <f>AVERAGE(I$7:I35)</f>
        <v>68.96551724137932</v>
      </c>
      <c r="P35" s="9">
        <f>AVERAGE(J$7:J35)</f>
        <v>57.48275862068966</v>
      </c>
      <c r="Q35" s="9">
        <f>AVERAGE(K$7:K35)</f>
        <v>41.10344827586207</v>
      </c>
      <c r="S35" s="9">
        <f t="shared" si="1"/>
        <v>86.96551724137932</v>
      </c>
      <c r="T35" s="6">
        <f t="shared" si="2"/>
        <v>0.9016653449643139</v>
      </c>
      <c r="U35" s="6">
        <f t="shared" si="3"/>
        <v>0.7930214115781127</v>
      </c>
      <c r="V35" s="6">
        <f t="shared" si="4"/>
        <v>0.6609833465503568</v>
      </c>
      <c r="W35" s="6">
        <f t="shared" si="5"/>
        <v>0.4726407613005551</v>
      </c>
      <c r="Y35" s="24">
        <f t="shared" si="24"/>
        <v>79.3</v>
      </c>
      <c r="Z35" s="24">
        <f t="shared" si="25"/>
        <v>69.8</v>
      </c>
      <c r="AA35" s="24">
        <f t="shared" si="26"/>
        <v>60.2</v>
      </c>
      <c r="AB35" s="24">
        <f t="shared" si="27"/>
        <v>49.4</v>
      </c>
      <c r="AC35" s="24">
        <f t="shared" si="28"/>
        <v>33.8</v>
      </c>
      <c r="AE35" s="6">
        <f t="shared" si="11"/>
        <v>0.793</v>
      </c>
      <c r="AF35" s="6">
        <f t="shared" si="12"/>
        <v>0.880201765447667</v>
      </c>
      <c r="AG35" s="6">
        <f t="shared" si="13"/>
        <v>0.759142496847415</v>
      </c>
      <c r="AH35" s="6">
        <f t="shared" si="14"/>
        <v>0.6229508196721312</v>
      </c>
      <c r="AI35" s="6">
        <f t="shared" si="15"/>
        <v>0.4262295081967213</v>
      </c>
      <c r="AN35" s="9"/>
      <c r="AO35" s="24"/>
      <c r="AP35" s="24"/>
      <c r="AS35" s="24"/>
      <c r="AT35" s="24"/>
      <c r="AX35" s="9"/>
    </row>
    <row r="36" spans="1:50" ht="12">
      <c r="A36">
        <v>30</v>
      </c>
      <c r="B36">
        <v>59</v>
      </c>
      <c r="C36" s="9">
        <f t="shared" si="16"/>
        <v>55.8</v>
      </c>
      <c r="D36" s="24">
        <f>AVERAGE(B$7:B36)</f>
        <v>63.666666666666664</v>
      </c>
      <c r="E36" s="24">
        <f t="shared" si="23"/>
        <v>55.8</v>
      </c>
      <c r="G36">
        <v>89</v>
      </c>
      <c r="H36">
        <v>77</v>
      </c>
      <c r="I36">
        <v>63</v>
      </c>
      <c r="J36">
        <v>49</v>
      </c>
      <c r="K36">
        <v>36</v>
      </c>
      <c r="M36" s="9">
        <f>AVERAGE(G$7:G36)</f>
        <v>87.03333333333333</v>
      </c>
      <c r="N36" s="9">
        <f>AVERAGE(H$7:H36)</f>
        <v>78.36666666666666</v>
      </c>
      <c r="O36" s="9">
        <f>AVERAGE(I$7:I36)</f>
        <v>68.76666666666667</v>
      </c>
      <c r="P36" s="9">
        <f>AVERAGE(J$7:J36)</f>
        <v>57.2</v>
      </c>
      <c r="Q36" s="9">
        <f>AVERAGE(K$7:K36)</f>
        <v>40.93333333333333</v>
      </c>
      <c r="S36" s="9">
        <f t="shared" si="1"/>
        <v>87.03333333333333</v>
      </c>
      <c r="T36" s="6">
        <f t="shared" si="2"/>
        <v>0.9004212945231711</v>
      </c>
      <c r="U36" s="6">
        <f t="shared" si="3"/>
        <v>0.7901187284565301</v>
      </c>
      <c r="V36" s="6">
        <f t="shared" si="4"/>
        <v>0.6572194561470701</v>
      </c>
      <c r="W36" s="6">
        <f t="shared" si="5"/>
        <v>0.4703178858674837</v>
      </c>
      <c r="Y36" s="24">
        <f t="shared" si="24"/>
        <v>79.3</v>
      </c>
      <c r="Z36" s="24">
        <f t="shared" si="25"/>
        <v>69.8</v>
      </c>
      <c r="AA36" s="24">
        <f t="shared" si="26"/>
        <v>60.2</v>
      </c>
      <c r="AB36" s="24">
        <f t="shared" si="27"/>
        <v>49.4</v>
      </c>
      <c r="AC36" s="24">
        <f t="shared" si="28"/>
        <v>33.8</v>
      </c>
      <c r="AE36" s="6">
        <f t="shared" si="11"/>
        <v>0.793</v>
      </c>
      <c r="AF36" s="6">
        <f t="shared" si="12"/>
        <v>0.880201765447667</v>
      </c>
      <c r="AG36" s="6">
        <f t="shared" si="13"/>
        <v>0.759142496847415</v>
      </c>
      <c r="AH36" s="6">
        <f t="shared" si="14"/>
        <v>0.6229508196721312</v>
      </c>
      <c r="AI36" s="6">
        <f t="shared" si="15"/>
        <v>0.4262295081967213</v>
      </c>
      <c r="AN36" s="9"/>
      <c r="AO36" s="24"/>
      <c r="AP36" s="24"/>
      <c r="AS36" s="24"/>
      <c r="AT36" s="24"/>
      <c r="AX36" s="9"/>
    </row>
    <row r="37" spans="1:46" ht="12">
      <c r="A37">
        <v>31</v>
      </c>
      <c r="B37">
        <v>57</v>
      </c>
      <c r="C37" s="9">
        <f t="shared" si="16"/>
        <v>58.6</v>
      </c>
      <c r="D37" s="24">
        <f>AVERAGE(B$7:B37)</f>
        <v>63.45161290322581</v>
      </c>
      <c r="E37" s="24">
        <f aca="true" t="shared" si="29" ref="E37:E46">AVERAGE(B$37:B$46)</f>
        <v>56.7</v>
      </c>
      <c r="G37">
        <v>90</v>
      </c>
      <c r="H37">
        <v>78</v>
      </c>
      <c r="I37">
        <v>63</v>
      </c>
      <c r="J37">
        <v>44</v>
      </c>
      <c r="K37">
        <v>28</v>
      </c>
      <c r="M37" s="9">
        <f>AVERAGE(G$7:G37)</f>
        <v>87.12903225806451</v>
      </c>
      <c r="N37" s="9">
        <f>AVERAGE(H$7:H37)</f>
        <v>78.35483870967742</v>
      </c>
      <c r="O37" s="9">
        <f>AVERAGE(I$7:I37)</f>
        <v>68.58064516129032</v>
      </c>
      <c r="P37" s="9">
        <f>AVERAGE(J$7:J37)</f>
        <v>56.774193548387096</v>
      </c>
      <c r="Q37" s="9">
        <f>AVERAGE(K$7:K37)</f>
        <v>40.516129032258064</v>
      </c>
      <c r="S37" s="9">
        <f t="shared" si="1"/>
        <v>87.12903225806451</v>
      </c>
      <c r="T37" s="6">
        <f t="shared" si="2"/>
        <v>0.8992965568308035</v>
      </c>
      <c r="U37" s="6">
        <f t="shared" si="3"/>
        <v>0.787115883006294</v>
      </c>
      <c r="V37" s="6">
        <f t="shared" si="4"/>
        <v>0.6516105146242133</v>
      </c>
      <c r="W37" s="6">
        <f t="shared" si="5"/>
        <v>0.46501295816364313</v>
      </c>
      <c r="Y37" s="24">
        <f aca="true" t="shared" si="30" ref="Y37:Y46">AVERAGE(G$37:G$46)</f>
        <v>84.2</v>
      </c>
      <c r="Z37" s="24">
        <f aca="true" t="shared" si="31" ref="Z37:Z46">AVERAGE(H$37:H$46)</f>
        <v>72.1</v>
      </c>
      <c r="AA37" s="24">
        <f aca="true" t="shared" si="32" ref="AA37:AA46">AVERAGE(I$37:I$46)</f>
        <v>60.2</v>
      </c>
      <c r="AB37" s="24">
        <f aca="true" t="shared" si="33" ref="AB37:AB46">AVERAGE(J$37:J$46)</f>
        <v>48</v>
      </c>
      <c r="AC37" s="24">
        <f aca="true" t="shared" si="34" ref="AC37:AC46">AVERAGE(K$37:K$46)</f>
        <v>35.7</v>
      </c>
      <c r="AE37" s="6">
        <f t="shared" si="11"/>
        <v>0.8420000000000001</v>
      </c>
      <c r="AF37" s="6">
        <f t="shared" si="12"/>
        <v>0.856294536817102</v>
      </c>
      <c r="AG37" s="6">
        <f t="shared" si="13"/>
        <v>0.7149643705463183</v>
      </c>
      <c r="AH37" s="6">
        <f t="shared" si="14"/>
        <v>0.5700712589073634</v>
      </c>
      <c r="AI37" s="6">
        <f t="shared" si="15"/>
        <v>0.42399049881235157</v>
      </c>
      <c r="AN37" s="9"/>
      <c r="AO37" s="24"/>
      <c r="AP37" s="24"/>
      <c r="AS37" s="24"/>
      <c r="AT37" s="24"/>
    </row>
    <row r="38" spans="1:46" ht="12">
      <c r="A38">
        <v>32</v>
      </c>
      <c r="B38">
        <v>93</v>
      </c>
      <c r="C38" s="9">
        <f t="shared" si="16"/>
        <v>61.4</v>
      </c>
      <c r="D38" s="24">
        <f>AVERAGE(B$7:B38)</f>
        <v>64.375</v>
      </c>
      <c r="E38" s="24">
        <f t="shared" si="29"/>
        <v>56.7</v>
      </c>
      <c r="G38">
        <v>99</v>
      </c>
      <c r="H38">
        <v>99</v>
      </c>
      <c r="I38">
        <v>97</v>
      </c>
      <c r="J38">
        <v>93</v>
      </c>
      <c r="K38">
        <v>81</v>
      </c>
      <c r="M38" s="9">
        <f>AVERAGE(G$7:G38)</f>
        <v>87.5</v>
      </c>
      <c r="N38" s="9">
        <f>AVERAGE(H$7:H38)</f>
        <v>79</v>
      </c>
      <c r="O38" s="9">
        <f>AVERAGE(I$7:I38)</f>
        <v>69.46875</v>
      </c>
      <c r="P38" s="9">
        <f>AVERAGE(J$7:J38)</f>
        <v>57.90625</v>
      </c>
      <c r="Q38" s="9">
        <f>AVERAGE(K$7:K38)</f>
        <v>41.78125</v>
      </c>
      <c r="S38" s="9">
        <f t="shared" si="1"/>
        <v>87.5</v>
      </c>
      <c r="T38" s="6">
        <f t="shared" si="2"/>
        <v>0.9028571428571428</v>
      </c>
      <c r="U38" s="6">
        <f t="shared" si="3"/>
        <v>0.7939285714285714</v>
      </c>
      <c r="V38" s="6">
        <f t="shared" si="4"/>
        <v>0.6617857142857143</v>
      </c>
      <c r="W38" s="6">
        <f t="shared" si="5"/>
        <v>0.4775</v>
      </c>
      <c r="Y38" s="24">
        <f t="shared" si="30"/>
        <v>84.2</v>
      </c>
      <c r="Z38" s="24">
        <f t="shared" si="31"/>
        <v>72.1</v>
      </c>
      <c r="AA38" s="24">
        <f t="shared" si="32"/>
        <v>60.2</v>
      </c>
      <c r="AB38" s="24">
        <f t="shared" si="33"/>
        <v>48</v>
      </c>
      <c r="AC38" s="24">
        <f t="shared" si="34"/>
        <v>35.7</v>
      </c>
      <c r="AE38" s="6">
        <f t="shared" si="11"/>
        <v>0.8420000000000001</v>
      </c>
      <c r="AF38" s="6">
        <f t="shared" si="12"/>
        <v>0.856294536817102</v>
      </c>
      <c r="AG38" s="6">
        <f t="shared" si="13"/>
        <v>0.7149643705463183</v>
      </c>
      <c r="AH38" s="6">
        <f t="shared" si="14"/>
        <v>0.5700712589073634</v>
      </c>
      <c r="AI38" s="6">
        <f t="shared" si="15"/>
        <v>0.42399049881235157</v>
      </c>
      <c r="AN38" s="9"/>
      <c r="AO38" s="24"/>
      <c r="AP38" s="24"/>
      <c r="AS38" s="24"/>
      <c r="AT38" s="24"/>
    </row>
    <row r="39" spans="1:46" ht="12">
      <c r="A39">
        <v>33</v>
      </c>
      <c r="B39">
        <v>55</v>
      </c>
      <c r="C39" s="9">
        <f t="shared" si="16"/>
        <v>60</v>
      </c>
      <c r="D39" s="24">
        <f>AVERAGE(B$7:B39)</f>
        <v>64.0909090909091</v>
      </c>
      <c r="E39" s="24">
        <f t="shared" si="29"/>
        <v>56.7</v>
      </c>
      <c r="G39">
        <v>85</v>
      </c>
      <c r="H39">
        <v>71</v>
      </c>
      <c r="I39">
        <v>58</v>
      </c>
      <c r="J39">
        <v>46</v>
      </c>
      <c r="K39">
        <v>32</v>
      </c>
      <c r="M39" s="9">
        <f>AVERAGE(G$7:G39)</f>
        <v>87.42424242424242</v>
      </c>
      <c r="N39" s="9">
        <f>AVERAGE(H$7:H39)</f>
        <v>78.75757575757575</v>
      </c>
      <c r="O39" s="9">
        <f>AVERAGE(I$7:I39)</f>
        <v>69.12121212121212</v>
      </c>
      <c r="P39" s="9">
        <f>AVERAGE(J$7:J39)</f>
        <v>57.54545454545455</v>
      </c>
      <c r="Q39" s="9">
        <f>AVERAGE(K$7:K39)</f>
        <v>41.484848484848484</v>
      </c>
      <c r="S39" s="9">
        <f aca="true" t="shared" si="35" ref="S39:S70">M39</f>
        <v>87.42424242424242</v>
      </c>
      <c r="T39" s="6">
        <f aca="true" t="shared" si="36" ref="T39:T70">N39/$M39</f>
        <v>0.9008665511265164</v>
      </c>
      <c r="U39" s="6">
        <f aca="true" t="shared" si="37" ref="U39:U70">O39/$M39</f>
        <v>0.7906412478336222</v>
      </c>
      <c r="V39" s="6">
        <f aca="true" t="shared" si="38" ref="V39:V70">P39/$M39</f>
        <v>0.6582322357019065</v>
      </c>
      <c r="W39" s="6">
        <f aca="true" t="shared" si="39" ref="W39:W70">Q39/$M39</f>
        <v>0.47452339688041595</v>
      </c>
      <c r="Y39" s="24">
        <f t="shared" si="30"/>
        <v>84.2</v>
      </c>
      <c r="Z39" s="24">
        <f t="shared" si="31"/>
        <v>72.1</v>
      </c>
      <c r="AA39" s="24">
        <f t="shared" si="32"/>
        <v>60.2</v>
      </c>
      <c r="AB39" s="24">
        <f t="shared" si="33"/>
        <v>48</v>
      </c>
      <c r="AC39" s="24">
        <f t="shared" si="34"/>
        <v>35.7</v>
      </c>
      <c r="AE39" s="6">
        <f t="shared" si="11"/>
        <v>0.8420000000000001</v>
      </c>
      <c r="AF39" s="6">
        <f t="shared" si="12"/>
        <v>0.856294536817102</v>
      </c>
      <c r="AG39" s="6">
        <f t="shared" si="13"/>
        <v>0.7149643705463183</v>
      </c>
      <c r="AH39" s="6">
        <f t="shared" si="14"/>
        <v>0.5700712589073634</v>
      </c>
      <c r="AI39" s="6">
        <f t="shared" si="15"/>
        <v>0.42399049881235157</v>
      </c>
      <c r="AN39" s="9"/>
      <c r="AO39" s="24"/>
      <c r="AP39" s="24"/>
      <c r="AS39" s="24"/>
      <c r="AT39" s="24"/>
    </row>
    <row r="40" spans="1:46" ht="12">
      <c r="A40">
        <v>34</v>
      </c>
      <c r="B40">
        <v>50</v>
      </c>
      <c r="C40" s="9">
        <f t="shared" si="16"/>
        <v>60</v>
      </c>
      <c r="D40" s="24">
        <f>AVERAGE(B$7:B40)</f>
        <v>63.6764705882353</v>
      </c>
      <c r="E40" s="24">
        <f t="shared" si="29"/>
        <v>56.7</v>
      </c>
      <c r="G40">
        <v>72</v>
      </c>
      <c r="H40">
        <v>61</v>
      </c>
      <c r="I40">
        <v>53</v>
      </c>
      <c r="J40">
        <v>46</v>
      </c>
      <c r="K40">
        <v>33</v>
      </c>
      <c r="M40" s="9">
        <f>AVERAGE(G$7:G40)</f>
        <v>86.97058823529412</v>
      </c>
      <c r="N40" s="9">
        <f>AVERAGE(H$7:H40)</f>
        <v>78.23529411764706</v>
      </c>
      <c r="O40" s="9">
        <f>AVERAGE(I$7:I40)</f>
        <v>68.6470588235294</v>
      </c>
      <c r="P40" s="9">
        <f>AVERAGE(J$7:J40)</f>
        <v>57.205882352941174</v>
      </c>
      <c r="Q40" s="9">
        <f>AVERAGE(K$7:K40)</f>
        <v>41.23529411764706</v>
      </c>
      <c r="S40" s="9">
        <f t="shared" si="35"/>
        <v>86.97058823529412</v>
      </c>
      <c r="T40" s="6">
        <f t="shared" si="36"/>
        <v>0.8995603652350355</v>
      </c>
      <c r="U40" s="6">
        <f t="shared" si="37"/>
        <v>0.7893134934054785</v>
      </c>
      <c r="V40" s="6">
        <f t="shared" si="38"/>
        <v>0.6577612445045654</v>
      </c>
      <c r="W40" s="6">
        <f t="shared" si="39"/>
        <v>0.47412918498478185</v>
      </c>
      <c r="Y40" s="24">
        <f t="shared" si="30"/>
        <v>84.2</v>
      </c>
      <c r="Z40" s="24">
        <f t="shared" si="31"/>
        <v>72.1</v>
      </c>
      <c r="AA40" s="24">
        <f t="shared" si="32"/>
        <v>60.2</v>
      </c>
      <c r="AB40" s="24">
        <f t="shared" si="33"/>
        <v>48</v>
      </c>
      <c r="AC40" s="24">
        <f t="shared" si="34"/>
        <v>35.7</v>
      </c>
      <c r="AE40" s="6">
        <f t="shared" si="11"/>
        <v>0.8420000000000001</v>
      </c>
      <c r="AF40" s="6">
        <f t="shared" si="12"/>
        <v>0.856294536817102</v>
      </c>
      <c r="AG40" s="6">
        <f t="shared" si="13"/>
        <v>0.7149643705463183</v>
      </c>
      <c r="AH40" s="6">
        <f t="shared" si="14"/>
        <v>0.5700712589073634</v>
      </c>
      <c r="AI40" s="6">
        <f t="shared" si="15"/>
        <v>0.42399049881235157</v>
      </c>
      <c r="AN40" s="9"/>
      <c r="AO40" s="24"/>
      <c r="AP40" s="24"/>
      <c r="AS40" s="24"/>
      <c r="AT40" s="24"/>
    </row>
    <row r="41" spans="1:46" ht="12">
      <c r="A41">
        <v>35</v>
      </c>
      <c r="B41">
        <v>44</v>
      </c>
      <c r="C41" s="9">
        <f t="shared" si="16"/>
        <v>61.8</v>
      </c>
      <c r="D41" s="24">
        <f>AVERAGE(B$7:B41)</f>
        <v>63.114285714285714</v>
      </c>
      <c r="E41" s="24">
        <f t="shared" si="29"/>
        <v>56.7</v>
      </c>
      <c r="G41">
        <v>84</v>
      </c>
      <c r="H41">
        <v>68</v>
      </c>
      <c r="I41">
        <v>50</v>
      </c>
      <c r="J41">
        <v>28</v>
      </c>
      <c r="K41">
        <v>16</v>
      </c>
      <c r="M41" s="9">
        <f>AVERAGE(G$7:G41)</f>
        <v>86.88571428571429</v>
      </c>
      <c r="N41" s="9">
        <f>AVERAGE(H$7:H41)</f>
        <v>77.94285714285714</v>
      </c>
      <c r="O41" s="9">
        <f>AVERAGE(I$7:I41)</f>
        <v>68.11428571428571</v>
      </c>
      <c r="P41" s="9">
        <f>AVERAGE(J$7:J41)</f>
        <v>56.371428571428574</v>
      </c>
      <c r="Q41" s="9">
        <f>AVERAGE(K$7:K41)</f>
        <v>40.51428571428571</v>
      </c>
      <c r="S41" s="9">
        <f t="shared" si="35"/>
        <v>86.88571428571429</v>
      </c>
      <c r="T41" s="6">
        <f t="shared" si="36"/>
        <v>0.8970733311410719</v>
      </c>
      <c r="U41" s="6">
        <f t="shared" si="37"/>
        <v>0.7839526471555409</v>
      </c>
      <c r="V41" s="6">
        <f t="shared" si="38"/>
        <v>0.6487997369286419</v>
      </c>
      <c r="W41" s="6">
        <f t="shared" si="39"/>
        <v>0.4662939822426833</v>
      </c>
      <c r="Y41" s="24">
        <f t="shared" si="30"/>
        <v>84.2</v>
      </c>
      <c r="Z41" s="24">
        <f t="shared" si="31"/>
        <v>72.1</v>
      </c>
      <c r="AA41" s="24">
        <f t="shared" si="32"/>
        <v>60.2</v>
      </c>
      <c r="AB41" s="24">
        <f t="shared" si="33"/>
        <v>48</v>
      </c>
      <c r="AC41" s="24">
        <f t="shared" si="34"/>
        <v>35.7</v>
      </c>
      <c r="AE41" s="6">
        <f t="shared" si="11"/>
        <v>0.8420000000000001</v>
      </c>
      <c r="AF41" s="6">
        <f t="shared" si="12"/>
        <v>0.856294536817102</v>
      </c>
      <c r="AG41" s="6">
        <f t="shared" si="13"/>
        <v>0.7149643705463183</v>
      </c>
      <c r="AH41" s="6">
        <f t="shared" si="14"/>
        <v>0.5700712589073634</v>
      </c>
      <c r="AI41" s="6">
        <f t="shared" si="15"/>
        <v>0.42399049881235157</v>
      </c>
      <c r="AN41" s="9"/>
      <c r="AO41" s="24"/>
      <c r="AP41" s="24"/>
      <c r="AS41" s="24"/>
      <c r="AT41" s="24"/>
    </row>
    <row r="42" spans="1:46" ht="12">
      <c r="A42">
        <v>36</v>
      </c>
      <c r="B42">
        <v>67</v>
      </c>
      <c r="C42" s="9">
        <f t="shared" si="16"/>
        <v>64.6</v>
      </c>
      <c r="D42" s="24">
        <f>AVERAGE(B$7:B42)</f>
        <v>63.22222222222222</v>
      </c>
      <c r="E42" s="24">
        <f t="shared" si="29"/>
        <v>56.7</v>
      </c>
      <c r="G42">
        <v>97</v>
      </c>
      <c r="H42">
        <v>90</v>
      </c>
      <c r="I42">
        <v>77</v>
      </c>
      <c r="J42">
        <v>58</v>
      </c>
      <c r="K42">
        <v>33</v>
      </c>
      <c r="M42" s="9">
        <f>AVERAGE(G$7:G42)</f>
        <v>87.16666666666667</v>
      </c>
      <c r="N42" s="9">
        <f>AVERAGE(H$7:H42)</f>
        <v>78.27777777777777</v>
      </c>
      <c r="O42" s="9">
        <f>AVERAGE(I$7:I42)</f>
        <v>68.36111111111111</v>
      </c>
      <c r="P42" s="9">
        <f>AVERAGE(J$7:J42)</f>
        <v>56.416666666666664</v>
      </c>
      <c r="Q42" s="9">
        <f>AVERAGE(K$7:K42)</f>
        <v>40.30555555555556</v>
      </c>
      <c r="S42" s="9">
        <f t="shared" si="35"/>
        <v>87.16666666666667</v>
      </c>
      <c r="T42" s="6">
        <f t="shared" si="36"/>
        <v>0.8980242192479285</v>
      </c>
      <c r="U42" s="6">
        <f t="shared" si="37"/>
        <v>0.784257488846399</v>
      </c>
      <c r="V42" s="6">
        <f t="shared" si="38"/>
        <v>0.647227533460803</v>
      </c>
      <c r="W42" s="6">
        <f t="shared" si="39"/>
        <v>0.4623964308476737</v>
      </c>
      <c r="Y42" s="24">
        <f t="shared" si="30"/>
        <v>84.2</v>
      </c>
      <c r="Z42" s="24">
        <f t="shared" si="31"/>
        <v>72.1</v>
      </c>
      <c r="AA42" s="24">
        <f t="shared" si="32"/>
        <v>60.2</v>
      </c>
      <c r="AB42" s="24">
        <f t="shared" si="33"/>
        <v>48</v>
      </c>
      <c r="AC42" s="24">
        <f t="shared" si="34"/>
        <v>35.7</v>
      </c>
      <c r="AE42" s="6">
        <f t="shared" si="11"/>
        <v>0.8420000000000001</v>
      </c>
      <c r="AF42" s="6">
        <f t="shared" si="12"/>
        <v>0.856294536817102</v>
      </c>
      <c r="AG42" s="6">
        <f t="shared" si="13"/>
        <v>0.7149643705463183</v>
      </c>
      <c r="AH42" s="6">
        <f t="shared" si="14"/>
        <v>0.5700712589073634</v>
      </c>
      <c r="AI42" s="6">
        <f t="shared" si="15"/>
        <v>0.42399049881235157</v>
      </c>
      <c r="AN42" s="9"/>
      <c r="AO42" s="24"/>
      <c r="AP42" s="24"/>
      <c r="AS42" s="24"/>
      <c r="AT42" s="24"/>
    </row>
    <row r="43" spans="1:46" ht="12">
      <c r="A43">
        <v>37</v>
      </c>
      <c r="B43">
        <v>44</v>
      </c>
      <c r="C43" s="9">
        <f t="shared" si="16"/>
        <v>61.7</v>
      </c>
      <c r="D43" s="24">
        <f>AVERAGE(B$7:B43)</f>
        <v>62.7027027027027</v>
      </c>
      <c r="E43" s="24">
        <f t="shared" si="29"/>
        <v>56.7</v>
      </c>
      <c r="G43">
        <v>90</v>
      </c>
      <c r="H43">
        <v>70</v>
      </c>
      <c r="I43">
        <v>46</v>
      </c>
      <c r="J43">
        <v>26</v>
      </c>
      <c r="K43">
        <v>17</v>
      </c>
      <c r="M43" s="9">
        <f>AVERAGE(G$7:G43)</f>
        <v>87.24324324324324</v>
      </c>
      <c r="N43" s="9">
        <f>AVERAGE(H$7:H43)</f>
        <v>78.05405405405405</v>
      </c>
      <c r="O43" s="9">
        <f>AVERAGE(I$7:I43)</f>
        <v>67.75675675675676</v>
      </c>
      <c r="P43" s="9">
        <f>AVERAGE(J$7:J43)</f>
        <v>55.5945945945946</v>
      </c>
      <c r="Q43" s="9">
        <f>AVERAGE(K$7:K43)</f>
        <v>39.67567567567568</v>
      </c>
      <c r="S43" s="9">
        <f t="shared" si="35"/>
        <v>87.24324324324324</v>
      </c>
      <c r="T43" s="6">
        <f t="shared" si="36"/>
        <v>0.8946716232961586</v>
      </c>
      <c r="U43" s="6">
        <f t="shared" si="37"/>
        <v>0.7766418835192069</v>
      </c>
      <c r="V43" s="6">
        <f t="shared" si="38"/>
        <v>0.6372366790582404</v>
      </c>
      <c r="W43" s="6">
        <f t="shared" si="39"/>
        <v>0.4547707558859975</v>
      </c>
      <c r="Y43" s="24">
        <f t="shared" si="30"/>
        <v>84.2</v>
      </c>
      <c r="Z43" s="24">
        <f t="shared" si="31"/>
        <v>72.1</v>
      </c>
      <c r="AA43" s="24">
        <f t="shared" si="32"/>
        <v>60.2</v>
      </c>
      <c r="AB43" s="24">
        <f t="shared" si="33"/>
        <v>48</v>
      </c>
      <c r="AC43" s="24">
        <f t="shared" si="34"/>
        <v>35.7</v>
      </c>
      <c r="AE43" s="6">
        <f t="shared" si="11"/>
        <v>0.8420000000000001</v>
      </c>
      <c r="AF43" s="6">
        <f t="shared" si="12"/>
        <v>0.856294536817102</v>
      </c>
      <c r="AG43" s="6">
        <f t="shared" si="13"/>
        <v>0.7149643705463183</v>
      </c>
      <c r="AH43" s="6">
        <f t="shared" si="14"/>
        <v>0.5700712589073634</v>
      </c>
      <c r="AI43" s="6">
        <f t="shared" si="15"/>
        <v>0.42399049881235157</v>
      </c>
      <c r="AN43" s="9"/>
      <c r="AO43" s="24"/>
      <c r="AP43" s="24"/>
      <c r="AS43" s="24"/>
      <c r="AT43" s="24"/>
    </row>
    <row r="44" spans="1:46" ht="12">
      <c r="A44">
        <v>38</v>
      </c>
      <c r="B44">
        <v>29</v>
      </c>
      <c r="C44" s="9">
        <f t="shared" si="16"/>
        <v>56.1</v>
      </c>
      <c r="D44" s="24">
        <f>AVERAGE(B$7:B44)</f>
        <v>61.81578947368421</v>
      </c>
      <c r="E44" s="24">
        <f t="shared" si="29"/>
        <v>56.7</v>
      </c>
      <c r="G44">
        <v>55</v>
      </c>
      <c r="H44">
        <v>37</v>
      </c>
      <c r="I44">
        <v>28</v>
      </c>
      <c r="J44">
        <v>22</v>
      </c>
      <c r="K44">
        <v>17</v>
      </c>
      <c r="M44" s="9">
        <f>AVERAGE(G$7:G44)</f>
        <v>86.39473684210526</v>
      </c>
      <c r="N44" s="9">
        <f>AVERAGE(H$7:H44)</f>
        <v>76.97368421052632</v>
      </c>
      <c r="O44" s="9">
        <f>AVERAGE(I$7:I44)</f>
        <v>66.71052631578948</v>
      </c>
      <c r="P44" s="9">
        <f>AVERAGE(J$7:J44)</f>
        <v>54.71052631578947</v>
      </c>
      <c r="Q44" s="9">
        <f>AVERAGE(K$7:K44)</f>
        <v>39.078947368421055</v>
      </c>
      <c r="S44" s="9">
        <f t="shared" si="35"/>
        <v>86.39473684210526</v>
      </c>
      <c r="T44" s="6">
        <f t="shared" si="36"/>
        <v>0.8909533962838867</v>
      </c>
      <c r="U44" s="6">
        <f t="shared" si="37"/>
        <v>0.7721596101127018</v>
      </c>
      <c r="V44" s="6">
        <f t="shared" si="38"/>
        <v>0.6332622601279317</v>
      </c>
      <c r="W44" s="6">
        <f t="shared" si="39"/>
        <v>0.4523301858056656</v>
      </c>
      <c r="Y44" s="24">
        <f t="shared" si="30"/>
        <v>84.2</v>
      </c>
      <c r="Z44" s="24">
        <f t="shared" si="31"/>
        <v>72.1</v>
      </c>
      <c r="AA44" s="24">
        <f t="shared" si="32"/>
        <v>60.2</v>
      </c>
      <c r="AB44" s="24">
        <f t="shared" si="33"/>
        <v>48</v>
      </c>
      <c r="AC44" s="24">
        <f t="shared" si="34"/>
        <v>35.7</v>
      </c>
      <c r="AE44" s="6">
        <f t="shared" si="11"/>
        <v>0.8420000000000001</v>
      </c>
      <c r="AF44" s="6">
        <f t="shared" si="12"/>
        <v>0.856294536817102</v>
      </c>
      <c r="AG44" s="6">
        <f t="shared" si="13"/>
        <v>0.7149643705463183</v>
      </c>
      <c r="AH44" s="6">
        <f t="shared" si="14"/>
        <v>0.5700712589073634</v>
      </c>
      <c r="AI44" s="6">
        <f t="shared" si="15"/>
        <v>0.42399049881235157</v>
      </c>
      <c r="AN44" s="9"/>
      <c r="AO44" s="24"/>
      <c r="AP44" s="24"/>
      <c r="AS44" s="24"/>
      <c r="AT44" s="24"/>
    </row>
    <row r="45" spans="1:46" ht="12">
      <c r="A45">
        <v>39</v>
      </c>
      <c r="B45">
        <v>92</v>
      </c>
      <c r="C45" s="9">
        <f t="shared" si="16"/>
        <v>59</v>
      </c>
      <c r="D45" s="24">
        <f>AVERAGE(B$7:B45)</f>
        <v>62.58974358974359</v>
      </c>
      <c r="E45" s="24">
        <f t="shared" si="29"/>
        <v>56.7</v>
      </c>
      <c r="G45">
        <v>98</v>
      </c>
      <c r="H45">
        <v>97</v>
      </c>
      <c r="I45">
        <v>96</v>
      </c>
      <c r="J45">
        <v>92</v>
      </c>
      <c r="K45">
        <v>80</v>
      </c>
      <c r="M45" s="9">
        <f>AVERAGE(G$7:G45)</f>
        <v>86.6923076923077</v>
      </c>
      <c r="N45" s="9">
        <f>AVERAGE(H$7:H45)</f>
        <v>77.48717948717949</v>
      </c>
      <c r="O45" s="9">
        <f>AVERAGE(I$7:I45)</f>
        <v>67.46153846153847</v>
      </c>
      <c r="P45" s="9">
        <f>AVERAGE(J$7:J45)</f>
        <v>55.666666666666664</v>
      </c>
      <c r="Q45" s="9">
        <f>AVERAGE(K$7:K45)</f>
        <v>40.12820512820513</v>
      </c>
      <c r="S45" s="9">
        <f t="shared" si="35"/>
        <v>86.6923076923077</v>
      </c>
      <c r="T45" s="6">
        <f t="shared" si="36"/>
        <v>0.893818396923987</v>
      </c>
      <c r="U45" s="6">
        <f t="shared" si="37"/>
        <v>0.7781721384205856</v>
      </c>
      <c r="V45" s="6">
        <f t="shared" si="38"/>
        <v>0.6421177166518781</v>
      </c>
      <c r="W45" s="6">
        <f t="shared" si="39"/>
        <v>0.46288080449571134</v>
      </c>
      <c r="Y45" s="24">
        <f t="shared" si="30"/>
        <v>84.2</v>
      </c>
      <c r="Z45" s="24">
        <f t="shared" si="31"/>
        <v>72.1</v>
      </c>
      <c r="AA45" s="24">
        <f t="shared" si="32"/>
        <v>60.2</v>
      </c>
      <c r="AB45" s="24">
        <f t="shared" si="33"/>
        <v>48</v>
      </c>
      <c r="AC45" s="24">
        <f t="shared" si="34"/>
        <v>35.7</v>
      </c>
      <c r="AE45" s="6">
        <f t="shared" si="11"/>
        <v>0.8420000000000001</v>
      </c>
      <c r="AF45" s="6">
        <f t="shared" si="12"/>
        <v>0.856294536817102</v>
      </c>
      <c r="AG45" s="6">
        <f t="shared" si="13"/>
        <v>0.7149643705463183</v>
      </c>
      <c r="AH45" s="6">
        <f t="shared" si="14"/>
        <v>0.5700712589073634</v>
      </c>
      <c r="AI45" s="6">
        <f t="shared" si="15"/>
        <v>0.42399049881235157</v>
      </c>
      <c r="AN45" s="9"/>
      <c r="AO45" s="24"/>
      <c r="AP45" s="24"/>
      <c r="AS45" s="24"/>
      <c r="AT45" s="24"/>
    </row>
    <row r="46" spans="1:46" ht="12">
      <c r="A46">
        <v>40</v>
      </c>
      <c r="B46">
        <v>36</v>
      </c>
      <c r="C46" s="9">
        <f t="shared" si="16"/>
        <v>56.7</v>
      </c>
      <c r="D46" s="24">
        <f>AVERAGE(B$7:B46)</f>
        <v>61.925</v>
      </c>
      <c r="E46" s="24">
        <f t="shared" si="29"/>
        <v>56.7</v>
      </c>
      <c r="G46">
        <v>72</v>
      </c>
      <c r="H46">
        <v>50</v>
      </c>
      <c r="I46">
        <v>34</v>
      </c>
      <c r="J46">
        <v>25</v>
      </c>
      <c r="K46">
        <v>20</v>
      </c>
      <c r="M46" s="9">
        <f>AVERAGE(G$7:G46)</f>
        <v>86.325</v>
      </c>
      <c r="N46" s="9">
        <f>AVERAGE(H$7:H46)</f>
        <v>76.8</v>
      </c>
      <c r="O46" s="9">
        <f>AVERAGE(I$7:I46)</f>
        <v>66.625</v>
      </c>
      <c r="P46" s="9">
        <f>AVERAGE(J$7:J46)</f>
        <v>54.9</v>
      </c>
      <c r="Q46" s="9">
        <f>AVERAGE(K$7:K46)</f>
        <v>39.625</v>
      </c>
      <c r="S46" s="9">
        <f t="shared" si="35"/>
        <v>86.325</v>
      </c>
      <c r="T46" s="6">
        <f t="shared" si="36"/>
        <v>0.889661164205039</v>
      </c>
      <c r="U46" s="6">
        <f t="shared" si="37"/>
        <v>0.7717926440776136</v>
      </c>
      <c r="V46" s="6">
        <f t="shared" si="38"/>
        <v>0.6359687228496959</v>
      </c>
      <c r="W46" s="6">
        <f t="shared" si="39"/>
        <v>0.4590211410367796</v>
      </c>
      <c r="Y46" s="24">
        <f t="shared" si="30"/>
        <v>84.2</v>
      </c>
      <c r="Z46" s="24">
        <f t="shared" si="31"/>
        <v>72.1</v>
      </c>
      <c r="AA46" s="24">
        <f t="shared" si="32"/>
        <v>60.2</v>
      </c>
      <c r="AB46" s="24">
        <f t="shared" si="33"/>
        <v>48</v>
      </c>
      <c r="AC46" s="24">
        <f t="shared" si="34"/>
        <v>35.7</v>
      </c>
      <c r="AE46" s="6">
        <f t="shared" si="11"/>
        <v>0.8420000000000001</v>
      </c>
      <c r="AF46" s="6">
        <f t="shared" si="12"/>
        <v>0.856294536817102</v>
      </c>
      <c r="AG46" s="6">
        <f t="shared" si="13"/>
        <v>0.7149643705463183</v>
      </c>
      <c r="AH46" s="6">
        <f t="shared" si="14"/>
        <v>0.5700712589073634</v>
      </c>
      <c r="AI46" s="6">
        <f t="shared" si="15"/>
        <v>0.42399049881235157</v>
      </c>
      <c r="AN46" s="9"/>
      <c r="AO46" s="24"/>
      <c r="AP46" s="24"/>
      <c r="AS46" s="24"/>
      <c r="AT46" s="24"/>
    </row>
    <row r="47" spans="1:46" ht="12">
      <c r="A47">
        <v>41</v>
      </c>
      <c r="B47">
        <v>68</v>
      </c>
      <c r="C47" s="9">
        <f t="shared" si="16"/>
        <v>57.8</v>
      </c>
      <c r="D47" s="24">
        <f>AVERAGE(B$7:B47)</f>
        <v>62.073170731707314</v>
      </c>
      <c r="E47" s="24">
        <f aca="true" t="shared" si="40" ref="E47:E56">AVERAGE(B$47:B$56)</f>
        <v>56.3</v>
      </c>
      <c r="G47">
        <v>95</v>
      </c>
      <c r="H47">
        <v>87</v>
      </c>
      <c r="I47">
        <v>77</v>
      </c>
      <c r="J47">
        <v>61</v>
      </c>
      <c r="K47">
        <v>37</v>
      </c>
      <c r="M47" s="9">
        <f>AVERAGE(G$7:G47)</f>
        <v>86.53658536585365</v>
      </c>
      <c r="N47" s="9">
        <f>AVERAGE(H$7:H47)</f>
        <v>77.04878048780488</v>
      </c>
      <c r="O47" s="9">
        <f>AVERAGE(I$7:I47)</f>
        <v>66.8780487804878</v>
      </c>
      <c r="P47" s="9">
        <f>AVERAGE(J$7:J47)</f>
        <v>55.048780487804876</v>
      </c>
      <c r="Q47" s="9">
        <f>AVERAGE(K$7:K47)</f>
        <v>39.5609756097561</v>
      </c>
      <c r="S47" s="9">
        <f t="shared" si="35"/>
        <v>86.53658536585365</v>
      </c>
      <c r="T47" s="6">
        <f t="shared" si="36"/>
        <v>0.8903607666290868</v>
      </c>
      <c r="U47" s="6">
        <f t="shared" si="37"/>
        <v>0.7728297632468997</v>
      </c>
      <c r="V47" s="6">
        <f t="shared" si="38"/>
        <v>0.6361330326944757</v>
      </c>
      <c r="W47" s="6">
        <f t="shared" si="39"/>
        <v>0.4571589627959414</v>
      </c>
      <c r="Y47" s="24">
        <f aca="true" t="shared" si="41" ref="Y47:Y56">AVERAGE(G$47:G$56)</f>
        <v>85.4</v>
      </c>
      <c r="Z47" s="24">
        <f aca="true" t="shared" si="42" ref="Z47:Z56">AVERAGE(H$47:H$56)</f>
        <v>74.2</v>
      </c>
      <c r="AA47" s="24">
        <f aca="true" t="shared" si="43" ref="AA47:AA56">AVERAGE(I$47:I$56)</f>
        <v>61.6</v>
      </c>
      <c r="AB47" s="24">
        <f aca="true" t="shared" si="44" ref="AB47:AB56">AVERAGE(J$47:J$56)</f>
        <v>47.4</v>
      </c>
      <c r="AC47" s="24">
        <f aca="true" t="shared" si="45" ref="AC47:AC56">AVERAGE(K$47:K$56)</f>
        <v>30.7</v>
      </c>
      <c r="AE47" s="6">
        <f t="shared" si="11"/>
        <v>0.8540000000000001</v>
      </c>
      <c r="AF47" s="6">
        <f t="shared" si="12"/>
        <v>0.8688524590163934</v>
      </c>
      <c r="AG47" s="6">
        <f t="shared" si="13"/>
        <v>0.7213114754098361</v>
      </c>
      <c r="AH47" s="6">
        <f t="shared" si="14"/>
        <v>0.5550351288056206</v>
      </c>
      <c r="AI47" s="6">
        <f t="shared" si="15"/>
        <v>0.35948477751756436</v>
      </c>
      <c r="AN47" s="9"/>
      <c r="AO47" s="24"/>
      <c r="AP47" s="24"/>
      <c r="AS47" s="24"/>
      <c r="AT47" s="24"/>
    </row>
    <row r="48" spans="1:46" ht="12">
      <c r="A48">
        <v>42</v>
      </c>
      <c r="B48">
        <v>64</v>
      </c>
      <c r="C48" s="9">
        <f aca="true" t="shared" si="46" ref="C48:C76">AVERAGE(B39:B48)</f>
        <v>54.9</v>
      </c>
      <c r="D48" s="24">
        <f>AVERAGE(B$7:B48)</f>
        <v>62.11904761904762</v>
      </c>
      <c r="E48" s="24">
        <f t="shared" si="40"/>
        <v>56.3</v>
      </c>
      <c r="G48">
        <v>91</v>
      </c>
      <c r="H48">
        <v>79</v>
      </c>
      <c r="I48">
        <v>65</v>
      </c>
      <c r="J48">
        <v>55</v>
      </c>
      <c r="K48">
        <v>45</v>
      </c>
      <c r="M48" s="9">
        <f>AVERAGE(G$7:G48)</f>
        <v>86.64285714285714</v>
      </c>
      <c r="N48" s="9">
        <f>AVERAGE(H$7:H48)</f>
        <v>77.0952380952381</v>
      </c>
      <c r="O48" s="9">
        <f>AVERAGE(I$7:I48)</f>
        <v>66.83333333333333</v>
      </c>
      <c r="P48" s="9">
        <f>AVERAGE(J$7:J48)</f>
        <v>55.04761904761905</v>
      </c>
      <c r="Q48" s="9">
        <f>AVERAGE(K$7:K48)</f>
        <v>39.69047619047619</v>
      </c>
      <c r="S48" s="9">
        <f t="shared" si="35"/>
        <v>86.64285714285714</v>
      </c>
      <c r="T48" s="6">
        <f t="shared" si="36"/>
        <v>0.8898048914536962</v>
      </c>
      <c r="U48" s="6">
        <f t="shared" si="37"/>
        <v>0.7713657598241275</v>
      </c>
      <c r="V48" s="6">
        <f t="shared" si="38"/>
        <v>0.6353393789502612</v>
      </c>
      <c r="W48" s="6">
        <f t="shared" si="39"/>
        <v>0.4580928826600715</v>
      </c>
      <c r="Y48" s="24">
        <f t="shared" si="41"/>
        <v>85.4</v>
      </c>
      <c r="Z48" s="24">
        <f t="shared" si="42"/>
        <v>74.2</v>
      </c>
      <c r="AA48" s="24">
        <f t="shared" si="43"/>
        <v>61.6</v>
      </c>
      <c r="AB48" s="24">
        <f t="shared" si="44"/>
        <v>47.4</v>
      </c>
      <c r="AC48" s="24">
        <f t="shared" si="45"/>
        <v>30.7</v>
      </c>
      <c r="AE48" s="6">
        <f t="shared" si="11"/>
        <v>0.8540000000000001</v>
      </c>
      <c r="AF48" s="6">
        <f t="shared" si="12"/>
        <v>0.8688524590163934</v>
      </c>
      <c r="AG48" s="6">
        <f t="shared" si="13"/>
        <v>0.7213114754098361</v>
      </c>
      <c r="AH48" s="6">
        <f t="shared" si="14"/>
        <v>0.5550351288056206</v>
      </c>
      <c r="AI48" s="6">
        <f t="shared" si="15"/>
        <v>0.35948477751756436</v>
      </c>
      <c r="AN48" s="9"/>
      <c r="AO48" s="24"/>
      <c r="AP48" s="24"/>
      <c r="AS48" s="24"/>
      <c r="AT48" s="24"/>
    </row>
    <row r="49" spans="1:46" ht="12">
      <c r="A49">
        <v>43</v>
      </c>
      <c r="B49">
        <v>67</v>
      </c>
      <c r="C49" s="9">
        <f t="shared" si="46"/>
        <v>56.1</v>
      </c>
      <c r="D49" s="24">
        <f>AVERAGE(B$7:B49)</f>
        <v>62.23255813953488</v>
      </c>
      <c r="E49" s="24">
        <f t="shared" si="40"/>
        <v>56.3</v>
      </c>
      <c r="G49">
        <v>96</v>
      </c>
      <c r="H49">
        <v>92</v>
      </c>
      <c r="I49">
        <v>81</v>
      </c>
      <c r="J49">
        <v>58</v>
      </c>
      <c r="K49">
        <v>25</v>
      </c>
      <c r="M49" s="9">
        <f>AVERAGE(G$7:G49)</f>
        <v>86.86046511627907</v>
      </c>
      <c r="N49" s="9">
        <f>AVERAGE(H$7:H49)</f>
        <v>77.44186046511628</v>
      </c>
      <c r="O49" s="9">
        <f>AVERAGE(I$7:I49)</f>
        <v>67.16279069767442</v>
      </c>
      <c r="P49" s="9">
        <f>AVERAGE(J$7:J49)</f>
        <v>55.116279069767444</v>
      </c>
      <c r="Q49" s="9">
        <f>AVERAGE(K$7:K49)</f>
        <v>39.348837209302324</v>
      </c>
      <c r="S49" s="9">
        <f t="shared" si="35"/>
        <v>86.86046511627907</v>
      </c>
      <c r="T49" s="6">
        <f t="shared" si="36"/>
        <v>0.891566265060241</v>
      </c>
      <c r="U49" s="6">
        <f t="shared" si="37"/>
        <v>0.7732262382864793</v>
      </c>
      <c r="V49" s="6">
        <f t="shared" si="38"/>
        <v>0.6345381526104418</v>
      </c>
      <c r="W49" s="6">
        <f t="shared" si="39"/>
        <v>0.4530120481927711</v>
      </c>
      <c r="Y49" s="24">
        <f t="shared" si="41"/>
        <v>85.4</v>
      </c>
      <c r="Z49" s="24">
        <f t="shared" si="42"/>
        <v>74.2</v>
      </c>
      <c r="AA49" s="24">
        <f t="shared" si="43"/>
        <v>61.6</v>
      </c>
      <c r="AB49" s="24">
        <f t="shared" si="44"/>
        <v>47.4</v>
      </c>
      <c r="AC49" s="24">
        <f t="shared" si="45"/>
        <v>30.7</v>
      </c>
      <c r="AE49" s="6">
        <f t="shared" si="11"/>
        <v>0.8540000000000001</v>
      </c>
      <c r="AF49" s="6">
        <f t="shared" si="12"/>
        <v>0.8688524590163934</v>
      </c>
      <c r="AG49" s="6">
        <f t="shared" si="13"/>
        <v>0.7213114754098361</v>
      </c>
      <c r="AH49" s="6">
        <f t="shared" si="14"/>
        <v>0.5550351288056206</v>
      </c>
      <c r="AI49" s="6">
        <f t="shared" si="15"/>
        <v>0.35948477751756436</v>
      </c>
      <c r="AN49" s="9"/>
      <c r="AO49" s="24"/>
      <c r="AP49" s="24"/>
      <c r="AS49" s="24"/>
      <c r="AT49" s="24"/>
    </row>
    <row r="50" spans="1:46" ht="12">
      <c r="A50">
        <v>44</v>
      </c>
      <c r="B50">
        <v>49</v>
      </c>
      <c r="C50" s="9">
        <f t="shared" si="46"/>
        <v>56</v>
      </c>
      <c r="D50" s="24">
        <f>AVERAGE(B$7:B50)</f>
        <v>61.93181818181818</v>
      </c>
      <c r="E50" s="24">
        <f t="shared" si="40"/>
        <v>56.3</v>
      </c>
      <c r="G50">
        <v>71</v>
      </c>
      <c r="H50">
        <v>61</v>
      </c>
      <c r="I50">
        <v>52</v>
      </c>
      <c r="J50">
        <v>44</v>
      </c>
      <c r="K50">
        <v>33</v>
      </c>
      <c r="M50" s="9">
        <f>AVERAGE(G$7:G50)</f>
        <v>86.5</v>
      </c>
      <c r="N50" s="9">
        <f>AVERAGE(H$7:H50)</f>
        <v>77.06818181818181</v>
      </c>
      <c r="O50" s="9">
        <f>AVERAGE(I$7:I50)</f>
        <v>66.81818181818181</v>
      </c>
      <c r="P50" s="9">
        <f>AVERAGE(J$7:J50)</f>
        <v>54.86363636363637</v>
      </c>
      <c r="Q50" s="9">
        <f>AVERAGE(K$7:K50)</f>
        <v>39.20454545454545</v>
      </c>
      <c r="S50" s="9">
        <f t="shared" si="35"/>
        <v>86.5</v>
      </c>
      <c r="T50" s="6">
        <f t="shared" si="36"/>
        <v>0.8909616395165527</v>
      </c>
      <c r="U50" s="6">
        <f t="shared" si="37"/>
        <v>0.7724645296899632</v>
      </c>
      <c r="V50" s="6">
        <f t="shared" si="38"/>
        <v>0.6342616920651604</v>
      </c>
      <c r="W50" s="6">
        <f t="shared" si="39"/>
        <v>0.453231739358907</v>
      </c>
      <c r="Y50" s="24">
        <f t="shared" si="41"/>
        <v>85.4</v>
      </c>
      <c r="Z50" s="24">
        <f t="shared" si="42"/>
        <v>74.2</v>
      </c>
      <c r="AA50" s="24">
        <f t="shared" si="43"/>
        <v>61.6</v>
      </c>
      <c r="AB50" s="24">
        <f t="shared" si="44"/>
        <v>47.4</v>
      </c>
      <c r="AC50" s="24">
        <f t="shared" si="45"/>
        <v>30.7</v>
      </c>
      <c r="AE50" s="6">
        <f t="shared" si="11"/>
        <v>0.8540000000000001</v>
      </c>
      <c r="AF50" s="6">
        <f t="shared" si="12"/>
        <v>0.8688524590163934</v>
      </c>
      <c r="AG50" s="6">
        <f t="shared" si="13"/>
        <v>0.7213114754098361</v>
      </c>
      <c r="AH50" s="6">
        <f t="shared" si="14"/>
        <v>0.5550351288056206</v>
      </c>
      <c r="AI50" s="6">
        <f t="shared" si="15"/>
        <v>0.35948477751756436</v>
      </c>
      <c r="AN50" s="9"/>
      <c r="AO50" s="24"/>
      <c r="AP50" s="24"/>
      <c r="AS50" s="24"/>
      <c r="AT50" s="24"/>
    </row>
    <row r="51" spans="1:46" ht="12">
      <c r="A51">
        <v>45</v>
      </c>
      <c r="B51">
        <v>36</v>
      </c>
      <c r="C51" s="9">
        <f t="shared" si="46"/>
        <v>55.2</v>
      </c>
      <c r="D51" s="24">
        <f>AVERAGE(B$7:B51)</f>
        <v>61.355555555555554</v>
      </c>
      <c r="E51" s="24">
        <f t="shared" si="40"/>
        <v>56.3</v>
      </c>
      <c r="G51">
        <v>72</v>
      </c>
      <c r="H51">
        <v>50</v>
      </c>
      <c r="I51">
        <v>33</v>
      </c>
      <c r="J51">
        <v>24</v>
      </c>
      <c r="K51">
        <v>22</v>
      </c>
      <c r="M51" s="9">
        <f>AVERAGE(G$7:G51)</f>
        <v>86.17777777777778</v>
      </c>
      <c r="N51" s="9">
        <f>AVERAGE(H$7:H51)</f>
        <v>76.46666666666667</v>
      </c>
      <c r="O51" s="9">
        <f>AVERAGE(I$7:I51)</f>
        <v>66.06666666666666</v>
      </c>
      <c r="P51" s="9">
        <f>AVERAGE(J$7:J51)</f>
        <v>54.17777777777778</v>
      </c>
      <c r="Q51" s="9">
        <f>AVERAGE(K$7:K51)</f>
        <v>38.82222222222222</v>
      </c>
      <c r="S51" s="9">
        <f t="shared" si="35"/>
        <v>86.17777777777778</v>
      </c>
      <c r="T51" s="6">
        <f t="shared" si="36"/>
        <v>0.8873130479628675</v>
      </c>
      <c r="U51" s="6">
        <f t="shared" si="37"/>
        <v>0.7666322846828262</v>
      </c>
      <c r="V51" s="6">
        <f t="shared" si="38"/>
        <v>0.62867457452295</v>
      </c>
      <c r="W51" s="6">
        <f t="shared" si="39"/>
        <v>0.4504899432697267</v>
      </c>
      <c r="Y51" s="24">
        <f t="shared" si="41"/>
        <v>85.4</v>
      </c>
      <c r="Z51" s="24">
        <f t="shared" si="42"/>
        <v>74.2</v>
      </c>
      <c r="AA51" s="24">
        <f t="shared" si="43"/>
        <v>61.6</v>
      </c>
      <c r="AB51" s="24">
        <f t="shared" si="44"/>
        <v>47.4</v>
      </c>
      <c r="AC51" s="24">
        <f t="shared" si="45"/>
        <v>30.7</v>
      </c>
      <c r="AE51" s="6">
        <f t="shared" si="11"/>
        <v>0.8540000000000001</v>
      </c>
      <c r="AF51" s="6">
        <f t="shared" si="12"/>
        <v>0.8688524590163934</v>
      </c>
      <c r="AG51" s="6">
        <f t="shared" si="13"/>
        <v>0.7213114754098361</v>
      </c>
      <c r="AH51" s="6">
        <f t="shared" si="14"/>
        <v>0.5550351288056206</v>
      </c>
      <c r="AI51" s="6">
        <f t="shared" si="15"/>
        <v>0.35948477751756436</v>
      </c>
      <c r="AN51" s="9"/>
      <c r="AO51" s="24"/>
      <c r="AP51" s="24"/>
      <c r="AS51" s="24"/>
      <c r="AT51" s="24"/>
    </row>
    <row r="52" spans="1:46" ht="12">
      <c r="A52">
        <v>46</v>
      </c>
      <c r="B52">
        <v>49</v>
      </c>
      <c r="C52" s="9">
        <f t="shared" si="46"/>
        <v>53.4</v>
      </c>
      <c r="D52" s="24">
        <f>AVERAGE(B$7:B52)</f>
        <v>61.08695652173913</v>
      </c>
      <c r="E52" s="24">
        <f t="shared" si="40"/>
        <v>56.3</v>
      </c>
      <c r="G52">
        <v>81</v>
      </c>
      <c r="H52">
        <v>65</v>
      </c>
      <c r="I52">
        <v>51</v>
      </c>
      <c r="J52">
        <v>39</v>
      </c>
      <c r="K52">
        <v>27</v>
      </c>
      <c r="M52" s="9">
        <f>AVERAGE(G$7:G52)</f>
        <v>86.06521739130434</v>
      </c>
      <c r="N52" s="9">
        <f>AVERAGE(H$7:H52)</f>
        <v>76.21739130434783</v>
      </c>
      <c r="O52" s="9">
        <f>AVERAGE(I$7:I52)</f>
        <v>65.73913043478261</v>
      </c>
      <c r="P52" s="9">
        <f>AVERAGE(J$7:J52)</f>
        <v>53.84782608695652</v>
      </c>
      <c r="Q52" s="9">
        <f>AVERAGE(K$7:K52)</f>
        <v>38.56521739130435</v>
      </c>
      <c r="S52" s="9">
        <f t="shared" si="35"/>
        <v>86.06521739130434</v>
      </c>
      <c r="T52" s="6">
        <f t="shared" si="36"/>
        <v>0.8855771659509978</v>
      </c>
      <c r="U52" s="6">
        <f t="shared" si="37"/>
        <v>0.7638292498105582</v>
      </c>
      <c r="V52" s="6">
        <f t="shared" si="38"/>
        <v>0.625663046223794</v>
      </c>
      <c r="W52" s="6">
        <f t="shared" si="39"/>
        <v>0.44809295276585004</v>
      </c>
      <c r="Y52" s="24">
        <f t="shared" si="41"/>
        <v>85.4</v>
      </c>
      <c r="Z52" s="24">
        <f t="shared" si="42"/>
        <v>74.2</v>
      </c>
      <c r="AA52" s="24">
        <f t="shared" si="43"/>
        <v>61.6</v>
      </c>
      <c r="AB52" s="24">
        <f t="shared" si="44"/>
        <v>47.4</v>
      </c>
      <c r="AC52" s="24">
        <f t="shared" si="45"/>
        <v>30.7</v>
      </c>
      <c r="AE52" s="6">
        <f t="shared" si="11"/>
        <v>0.8540000000000001</v>
      </c>
      <c r="AF52" s="6">
        <f t="shared" si="12"/>
        <v>0.8688524590163934</v>
      </c>
      <c r="AG52" s="6">
        <f t="shared" si="13"/>
        <v>0.7213114754098361</v>
      </c>
      <c r="AH52" s="6">
        <f t="shared" si="14"/>
        <v>0.5550351288056206</v>
      </c>
      <c r="AI52" s="6">
        <f t="shared" si="15"/>
        <v>0.35948477751756436</v>
      </c>
      <c r="AN52" s="9"/>
      <c r="AO52" s="24"/>
      <c r="AP52" s="24"/>
      <c r="AS52" s="24"/>
      <c r="AT52" s="24"/>
    </row>
    <row r="53" spans="1:46" ht="12">
      <c r="A53">
        <v>47</v>
      </c>
      <c r="B53">
        <v>48</v>
      </c>
      <c r="C53" s="9">
        <f t="shared" si="46"/>
        <v>53.8</v>
      </c>
      <c r="D53" s="24">
        <f>AVERAGE(B$7:B53)</f>
        <v>60.808510638297875</v>
      </c>
      <c r="E53" s="24">
        <f t="shared" si="40"/>
        <v>56.3</v>
      </c>
      <c r="G53">
        <v>88</v>
      </c>
      <c r="H53">
        <v>74</v>
      </c>
      <c r="I53">
        <v>55</v>
      </c>
      <c r="J53">
        <v>35</v>
      </c>
      <c r="K53">
        <v>15</v>
      </c>
      <c r="M53" s="9">
        <f>AVERAGE(G$7:G53)</f>
        <v>86.1063829787234</v>
      </c>
      <c r="N53" s="9">
        <f>AVERAGE(H$7:H53)</f>
        <v>76.17021276595744</v>
      </c>
      <c r="O53" s="9">
        <f>AVERAGE(I$7:I53)</f>
        <v>65.51063829787235</v>
      </c>
      <c r="P53" s="9">
        <f>AVERAGE(J$7:J53)</f>
        <v>53.4468085106383</v>
      </c>
      <c r="Q53" s="9">
        <f>AVERAGE(K$7:K53)</f>
        <v>38.06382978723404</v>
      </c>
      <c r="S53" s="9">
        <f t="shared" si="35"/>
        <v>86.1063829787234</v>
      </c>
      <c r="T53" s="6">
        <f t="shared" si="36"/>
        <v>0.8846058808994317</v>
      </c>
      <c r="U53" s="6">
        <f t="shared" si="37"/>
        <v>0.7608104768964666</v>
      </c>
      <c r="V53" s="6">
        <f t="shared" si="38"/>
        <v>0.6207066963182605</v>
      </c>
      <c r="W53" s="6">
        <f t="shared" si="39"/>
        <v>0.44205584383493945</v>
      </c>
      <c r="Y53" s="24">
        <f t="shared" si="41"/>
        <v>85.4</v>
      </c>
      <c r="Z53" s="24">
        <f t="shared" si="42"/>
        <v>74.2</v>
      </c>
      <c r="AA53" s="24">
        <f t="shared" si="43"/>
        <v>61.6</v>
      </c>
      <c r="AB53" s="24">
        <f t="shared" si="44"/>
        <v>47.4</v>
      </c>
      <c r="AC53" s="24">
        <f t="shared" si="45"/>
        <v>30.7</v>
      </c>
      <c r="AE53" s="6">
        <f t="shared" si="11"/>
        <v>0.8540000000000001</v>
      </c>
      <c r="AF53" s="6">
        <f t="shared" si="12"/>
        <v>0.8688524590163934</v>
      </c>
      <c r="AG53" s="6">
        <f t="shared" si="13"/>
        <v>0.7213114754098361</v>
      </c>
      <c r="AH53" s="6">
        <f t="shared" si="14"/>
        <v>0.5550351288056206</v>
      </c>
      <c r="AI53" s="6">
        <f t="shared" si="15"/>
        <v>0.35948477751756436</v>
      </c>
      <c r="AN53" s="9"/>
      <c r="AO53" s="24"/>
      <c r="AP53" s="24"/>
      <c r="AS53" s="24"/>
      <c r="AT53" s="24"/>
    </row>
    <row r="54" spans="1:46" ht="12">
      <c r="A54">
        <v>48</v>
      </c>
      <c r="B54">
        <v>72</v>
      </c>
      <c r="C54" s="9">
        <f t="shared" si="46"/>
        <v>58.1</v>
      </c>
      <c r="D54" s="24">
        <f>AVERAGE(B$7:B54)</f>
        <v>61.041666666666664</v>
      </c>
      <c r="E54" s="24">
        <f t="shared" si="40"/>
        <v>56.3</v>
      </c>
      <c r="G54">
        <v>98</v>
      </c>
      <c r="H54">
        <v>93</v>
      </c>
      <c r="I54">
        <v>84</v>
      </c>
      <c r="J54">
        <v>65</v>
      </c>
      <c r="K54">
        <v>34</v>
      </c>
      <c r="M54" s="9">
        <f>AVERAGE(G$7:G54)</f>
        <v>86.35416666666667</v>
      </c>
      <c r="N54" s="9">
        <f>AVERAGE(H$7:H54)</f>
        <v>76.52083333333333</v>
      </c>
      <c r="O54" s="9">
        <f>AVERAGE(I$7:I54)</f>
        <v>65.89583333333333</v>
      </c>
      <c r="P54" s="9">
        <f>AVERAGE(J$7:J54)</f>
        <v>53.6875</v>
      </c>
      <c r="Q54" s="9">
        <f>AVERAGE(K$7:K54)</f>
        <v>37.979166666666664</v>
      </c>
      <c r="S54" s="9">
        <f t="shared" si="35"/>
        <v>86.35416666666667</v>
      </c>
      <c r="T54" s="6">
        <f t="shared" si="36"/>
        <v>0.8861278648974668</v>
      </c>
      <c r="U54" s="6">
        <f t="shared" si="37"/>
        <v>0.7630880579010856</v>
      </c>
      <c r="V54" s="6">
        <f t="shared" si="38"/>
        <v>0.6217129071170084</v>
      </c>
      <c r="W54" s="6">
        <f t="shared" si="39"/>
        <v>0.4398069963811821</v>
      </c>
      <c r="Y54" s="24">
        <f t="shared" si="41"/>
        <v>85.4</v>
      </c>
      <c r="Z54" s="24">
        <f t="shared" si="42"/>
        <v>74.2</v>
      </c>
      <c r="AA54" s="24">
        <f t="shared" si="43"/>
        <v>61.6</v>
      </c>
      <c r="AB54" s="24">
        <f t="shared" si="44"/>
        <v>47.4</v>
      </c>
      <c r="AC54" s="24">
        <f t="shared" si="45"/>
        <v>30.7</v>
      </c>
      <c r="AE54" s="6">
        <f t="shared" si="11"/>
        <v>0.8540000000000001</v>
      </c>
      <c r="AF54" s="6">
        <f t="shared" si="12"/>
        <v>0.8688524590163934</v>
      </c>
      <c r="AG54" s="6">
        <f t="shared" si="13"/>
        <v>0.7213114754098361</v>
      </c>
      <c r="AH54" s="6">
        <f t="shared" si="14"/>
        <v>0.5550351288056206</v>
      </c>
      <c r="AI54" s="6">
        <f t="shared" si="15"/>
        <v>0.35948477751756436</v>
      </c>
      <c r="AN54" s="9"/>
      <c r="AO54" s="24"/>
      <c r="AP54" s="24"/>
      <c r="AS54" s="24"/>
      <c r="AT54" s="24"/>
    </row>
    <row r="55" spans="1:46" ht="12">
      <c r="A55">
        <v>49</v>
      </c>
      <c r="B55">
        <v>68</v>
      </c>
      <c r="C55" s="9">
        <f t="shared" si="46"/>
        <v>55.7</v>
      </c>
      <c r="D55" s="24">
        <f>AVERAGE(B$7:B55)</f>
        <v>61.183673469387756</v>
      </c>
      <c r="E55" s="24">
        <f t="shared" si="40"/>
        <v>56.3</v>
      </c>
      <c r="G55">
        <v>82</v>
      </c>
      <c r="H55">
        <v>76</v>
      </c>
      <c r="I55">
        <v>71</v>
      </c>
      <c r="J55">
        <v>65</v>
      </c>
      <c r="K55">
        <v>54</v>
      </c>
      <c r="M55" s="9">
        <f>AVERAGE(G$7:G55)</f>
        <v>86.26530612244898</v>
      </c>
      <c r="N55" s="9">
        <f>AVERAGE(H$7:H55)</f>
        <v>76.51020408163265</v>
      </c>
      <c r="O55" s="9">
        <f>AVERAGE(I$7:I55)</f>
        <v>66</v>
      </c>
      <c r="P55" s="9">
        <f>AVERAGE(J$7:J55)</f>
        <v>53.91836734693877</v>
      </c>
      <c r="Q55" s="9">
        <f>AVERAGE(K$7:K55)</f>
        <v>38.30612244897959</v>
      </c>
      <c r="S55" s="9">
        <f t="shared" si="35"/>
        <v>86.26530612244898</v>
      </c>
      <c r="T55" s="6">
        <f t="shared" si="36"/>
        <v>0.8869174355334752</v>
      </c>
      <c r="U55" s="6">
        <f t="shared" si="37"/>
        <v>0.7650816181689142</v>
      </c>
      <c r="V55" s="6">
        <f t="shared" si="38"/>
        <v>0.6250295718003313</v>
      </c>
      <c r="W55" s="6">
        <f t="shared" si="39"/>
        <v>0.44405015377336177</v>
      </c>
      <c r="Y55" s="24">
        <f t="shared" si="41"/>
        <v>85.4</v>
      </c>
      <c r="Z55" s="24">
        <f t="shared" si="42"/>
        <v>74.2</v>
      </c>
      <c r="AA55" s="24">
        <f t="shared" si="43"/>
        <v>61.6</v>
      </c>
      <c r="AB55" s="24">
        <f t="shared" si="44"/>
        <v>47.4</v>
      </c>
      <c r="AC55" s="24">
        <f t="shared" si="45"/>
        <v>30.7</v>
      </c>
      <c r="AE55" s="6">
        <f t="shared" si="11"/>
        <v>0.8540000000000001</v>
      </c>
      <c r="AF55" s="6">
        <f t="shared" si="12"/>
        <v>0.8688524590163934</v>
      </c>
      <c r="AG55" s="6">
        <f t="shared" si="13"/>
        <v>0.7213114754098361</v>
      </c>
      <c r="AH55" s="6">
        <f t="shared" si="14"/>
        <v>0.5550351288056206</v>
      </c>
      <c r="AI55" s="6">
        <f t="shared" si="15"/>
        <v>0.35948477751756436</v>
      </c>
      <c r="AN55" s="9"/>
      <c r="AO55" s="24"/>
      <c r="AP55" s="24"/>
      <c r="AS55" s="24"/>
      <c r="AT55" s="24"/>
    </row>
    <row r="56" spans="1:46" ht="12">
      <c r="A56">
        <v>50</v>
      </c>
      <c r="B56">
        <v>42</v>
      </c>
      <c r="C56" s="9">
        <f t="shared" si="46"/>
        <v>56.3</v>
      </c>
      <c r="D56" s="24">
        <f>AVERAGE(B$7:B56)</f>
        <v>60.8</v>
      </c>
      <c r="E56" s="24">
        <f t="shared" si="40"/>
        <v>56.3</v>
      </c>
      <c r="G56">
        <v>80</v>
      </c>
      <c r="H56">
        <v>65</v>
      </c>
      <c r="I56">
        <v>47</v>
      </c>
      <c r="J56">
        <v>28</v>
      </c>
      <c r="K56">
        <v>15</v>
      </c>
      <c r="M56" s="9">
        <f>AVERAGE(G$7:G56)</f>
        <v>86.14</v>
      </c>
      <c r="N56" s="9">
        <f>AVERAGE(H$7:H56)</f>
        <v>76.28</v>
      </c>
      <c r="O56" s="9">
        <f>AVERAGE(I$7:I56)</f>
        <v>65.62</v>
      </c>
      <c r="P56" s="9">
        <f>AVERAGE(J$7:J56)</f>
        <v>53.4</v>
      </c>
      <c r="Q56" s="9">
        <f>AVERAGE(K$7:K56)</f>
        <v>37.84</v>
      </c>
      <c r="S56" s="9">
        <f t="shared" si="35"/>
        <v>86.14</v>
      </c>
      <c r="T56" s="6">
        <f t="shared" si="36"/>
        <v>0.8855351752960298</v>
      </c>
      <c r="U56" s="6">
        <f t="shared" si="37"/>
        <v>0.7617831437195264</v>
      </c>
      <c r="V56" s="6">
        <f t="shared" si="38"/>
        <v>0.6199210587415834</v>
      </c>
      <c r="W56" s="6">
        <f t="shared" si="39"/>
        <v>0.439284885070815</v>
      </c>
      <c r="Y56" s="24">
        <f t="shared" si="41"/>
        <v>85.4</v>
      </c>
      <c r="Z56" s="24">
        <f t="shared" si="42"/>
        <v>74.2</v>
      </c>
      <c r="AA56" s="24">
        <f t="shared" si="43"/>
        <v>61.6</v>
      </c>
      <c r="AB56" s="24">
        <f t="shared" si="44"/>
        <v>47.4</v>
      </c>
      <c r="AC56" s="24">
        <f t="shared" si="45"/>
        <v>30.7</v>
      </c>
      <c r="AE56" s="6">
        <f t="shared" si="11"/>
        <v>0.8540000000000001</v>
      </c>
      <c r="AF56" s="6">
        <f t="shared" si="12"/>
        <v>0.8688524590163934</v>
      </c>
      <c r="AG56" s="6">
        <f t="shared" si="13"/>
        <v>0.7213114754098361</v>
      </c>
      <c r="AH56" s="6">
        <f t="shared" si="14"/>
        <v>0.5550351288056206</v>
      </c>
      <c r="AI56" s="6">
        <f t="shared" si="15"/>
        <v>0.35948477751756436</v>
      </c>
      <c r="AN56" s="9"/>
      <c r="AO56" s="24"/>
      <c r="AP56" s="24"/>
      <c r="AS56" s="24"/>
      <c r="AT56" s="24"/>
    </row>
    <row r="57" spans="1:46" ht="12">
      <c r="A57">
        <v>51</v>
      </c>
      <c r="B57">
        <v>49</v>
      </c>
      <c r="C57" s="9">
        <f t="shared" si="46"/>
        <v>54.4</v>
      </c>
      <c r="D57" s="24">
        <f>AVERAGE(B$7:B57)</f>
        <v>60.568627450980394</v>
      </c>
      <c r="E57" s="24">
        <f aca="true" t="shared" si="47" ref="E57:E66">AVERAGE(B$57:B$66)</f>
        <v>46.2</v>
      </c>
      <c r="G57">
        <v>78</v>
      </c>
      <c r="H57">
        <v>66</v>
      </c>
      <c r="I57">
        <v>55</v>
      </c>
      <c r="J57">
        <v>41</v>
      </c>
      <c r="K57">
        <v>22</v>
      </c>
      <c r="M57" s="9">
        <f>AVERAGE(G$7:G57)</f>
        <v>85.98039215686275</v>
      </c>
      <c r="N57" s="9">
        <f>AVERAGE(H$7:H57)</f>
        <v>76.07843137254902</v>
      </c>
      <c r="O57" s="9">
        <f>AVERAGE(I$7:I57)</f>
        <v>65.41176470588235</v>
      </c>
      <c r="P57" s="9">
        <f>AVERAGE(J$7:J57)</f>
        <v>53.15686274509804</v>
      </c>
      <c r="Q57" s="9">
        <f>AVERAGE(K$7:K57)</f>
        <v>37.529411764705884</v>
      </c>
      <c r="S57" s="9">
        <f t="shared" si="35"/>
        <v>85.98039215686275</v>
      </c>
      <c r="T57" s="6">
        <f t="shared" si="36"/>
        <v>0.8848346636259977</v>
      </c>
      <c r="U57" s="6">
        <f t="shared" si="37"/>
        <v>0.7607753705815279</v>
      </c>
      <c r="V57" s="6">
        <f t="shared" si="38"/>
        <v>0.6182440136830102</v>
      </c>
      <c r="W57" s="6">
        <f t="shared" si="39"/>
        <v>0.43648802736602055</v>
      </c>
      <c r="Y57" s="24">
        <f aca="true" t="shared" si="48" ref="Y57:Y66">AVERAGE(G$57:G$66)</f>
        <v>73.1</v>
      </c>
      <c r="Z57" s="24">
        <f aca="true" t="shared" si="49" ref="Z57:Z66">AVERAGE(H$57:H$66)</f>
        <v>61.1</v>
      </c>
      <c r="AA57" s="24">
        <f aca="true" t="shared" si="50" ref="AA57:AA66">AVERAGE(I$57:I$66)</f>
        <v>50</v>
      </c>
      <c r="AB57" s="24">
        <f aca="true" t="shared" si="51" ref="AB57:AB66">AVERAGE(J$57:J$66)</f>
        <v>38.3</v>
      </c>
      <c r="AC57" s="24">
        <f aca="true" t="shared" si="52" ref="AC57:AC66">AVERAGE(K$57:K$66)</f>
        <v>24.4</v>
      </c>
      <c r="AE57" s="6">
        <f t="shared" si="11"/>
        <v>0.731</v>
      </c>
      <c r="AF57" s="6">
        <f t="shared" si="12"/>
        <v>0.835841313269494</v>
      </c>
      <c r="AG57" s="6">
        <f t="shared" si="13"/>
        <v>0.6839945280437757</v>
      </c>
      <c r="AH57" s="6">
        <f t="shared" si="14"/>
        <v>0.5239398084815321</v>
      </c>
      <c r="AI57" s="6">
        <f t="shared" si="15"/>
        <v>0.3337893296853625</v>
      </c>
      <c r="AN57" s="9"/>
      <c r="AO57" s="24"/>
      <c r="AP57" s="24"/>
      <c r="AS57" s="24"/>
      <c r="AT57" s="24"/>
    </row>
    <row r="58" spans="1:46" ht="12">
      <c r="A58">
        <v>52</v>
      </c>
      <c r="B58">
        <v>74</v>
      </c>
      <c r="C58" s="9">
        <f t="shared" si="46"/>
        <v>55.4</v>
      </c>
      <c r="D58" s="24">
        <f>AVERAGE(B$7:B58)</f>
        <v>60.82692307692308</v>
      </c>
      <c r="E58" s="24">
        <f t="shared" si="47"/>
        <v>46.2</v>
      </c>
      <c r="G58">
        <v>94</v>
      </c>
      <c r="H58">
        <v>90</v>
      </c>
      <c r="I58">
        <v>81</v>
      </c>
      <c r="J58">
        <v>69</v>
      </c>
      <c r="K58">
        <v>45</v>
      </c>
      <c r="M58" s="9">
        <f>AVERAGE(G$7:G58)</f>
        <v>86.13461538461539</v>
      </c>
      <c r="N58" s="9">
        <f>AVERAGE(H$7:H58)</f>
        <v>76.34615384615384</v>
      </c>
      <c r="O58" s="9">
        <f>AVERAGE(I$7:I58)</f>
        <v>65.71153846153847</v>
      </c>
      <c r="P58" s="9">
        <f>AVERAGE(J$7:J58)</f>
        <v>53.46153846153846</v>
      </c>
      <c r="Q58" s="9">
        <f>AVERAGE(K$7:K58)</f>
        <v>37.67307692307692</v>
      </c>
      <c r="S58" s="9">
        <f t="shared" si="35"/>
        <v>86.13461538461539</v>
      </c>
      <c r="T58" s="6">
        <f t="shared" si="36"/>
        <v>0.8863585621790577</v>
      </c>
      <c r="U58" s="6">
        <f t="shared" si="37"/>
        <v>0.7628935030140657</v>
      </c>
      <c r="V58" s="6">
        <f t="shared" si="38"/>
        <v>0.6206742576467962</v>
      </c>
      <c r="W58" s="6">
        <f t="shared" si="39"/>
        <v>0.43737441393168114</v>
      </c>
      <c r="Y58" s="24">
        <f t="shared" si="48"/>
        <v>73.1</v>
      </c>
      <c r="Z58" s="24">
        <f t="shared" si="49"/>
        <v>61.1</v>
      </c>
      <c r="AA58" s="24">
        <f t="shared" si="50"/>
        <v>50</v>
      </c>
      <c r="AB58" s="24">
        <f t="shared" si="51"/>
        <v>38.3</v>
      </c>
      <c r="AC58" s="24">
        <f t="shared" si="52"/>
        <v>24.4</v>
      </c>
      <c r="AE58" s="6">
        <f t="shared" si="11"/>
        <v>0.731</v>
      </c>
      <c r="AF58" s="6">
        <f t="shared" si="12"/>
        <v>0.835841313269494</v>
      </c>
      <c r="AG58" s="6">
        <f t="shared" si="13"/>
        <v>0.6839945280437757</v>
      </c>
      <c r="AH58" s="6">
        <f t="shared" si="14"/>
        <v>0.5239398084815321</v>
      </c>
      <c r="AI58" s="6">
        <f t="shared" si="15"/>
        <v>0.3337893296853625</v>
      </c>
      <c r="AN58" s="9"/>
      <c r="AO58" s="24"/>
      <c r="AP58" s="24"/>
      <c r="AS58" s="24"/>
      <c r="AT58" s="24"/>
    </row>
    <row r="59" spans="1:46" ht="12">
      <c r="A59">
        <v>53</v>
      </c>
      <c r="B59">
        <v>40</v>
      </c>
      <c r="C59" s="9">
        <f t="shared" si="46"/>
        <v>52.7</v>
      </c>
      <c r="D59" s="24">
        <f>AVERAGE(B$7:B59)</f>
        <v>60.43396226415094</v>
      </c>
      <c r="E59" s="24">
        <f t="shared" si="47"/>
        <v>46.2</v>
      </c>
      <c r="G59">
        <v>67</v>
      </c>
      <c r="H59">
        <v>54</v>
      </c>
      <c r="I59">
        <v>42</v>
      </c>
      <c r="J59">
        <v>32</v>
      </c>
      <c r="K59">
        <v>23</v>
      </c>
      <c r="M59" s="9">
        <f>AVERAGE(G$7:G59)</f>
        <v>85.77358490566037</v>
      </c>
      <c r="N59" s="9">
        <f>AVERAGE(H$7:H59)</f>
        <v>75.9245283018868</v>
      </c>
      <c r="O59" s="9">
        <f>AVERAGE(I$7:I59)</f>
        <v>65.26415094339623</v>
      </c>
      <c r="P59" s="9">
        <f>AVERAGE(J$7:J59)</f>
        <v>53.056603773584904</v>
      </c>
      <c r="Q59" s="9">
        <f>AVERAGE(K$7:K59)</f>
        <v>37.39622641509434</v>
      </c>
      <c r="S59" s="9">
        <f t="shared" si="35"/>
        <v>85.77358490566037</v>
      </c>
      <c r="T59" s="6">
        <f t="shared" si="36"/>
        <v>0.8851737791465025</v>
      </c>
      <c r="U59" s="6">
        <f t="shared" si="37"/>
        <v>0.7608886933567973</v>
      </c>
      <c r="V59" s="6">
        <f t="shared" si="38"/>
        <v>0.6185657721073471</v>
      </c>
      <c r="W59" s="6">
        <f t="shared" si="39"/>
        <v>0.43598768147822264</v>
      </c>
      <c r="Y59" s="24">
        <f t="shared" si="48"/>
        <v>73.1</v>
      </c>
      <c r="Z59" s="24">
        <f t="shared" si="49"/>
        <v>61.1</v>
      </c>
      <c r="AA59" s="24">
        <f t="shared" si="50"/>
        <v>50</v>
      </c>
      <c r="AB59" s="24">
        <f t="shared" si="51"/>
        <v>38.3</v>
      </c>
      <c r="AC59" s="24">
        <f t="shared" si="52"/>
        <v>24.4</v>
      </c>
      <c r="AE59" s="6">
        <f t="shared" si="11"/>
        <v>0.731</v>
      </c>
      <c r="AF59" s="6">
        <f t="shared" si="12"/>
        <v>0.835841313269494</v>
      </c>
      <c r="AG59" s="6">
        <f t="shared" si="13"/>
        <v>0.6839945280437757</v>
      </c>
      <c r="AH59" s="6">
        <f t="shared" si="14"/>
        <v>0.5239398084815321</v>
      </c>
      <c r="AI59" s="6">
        <f t="shared" si="15"/>
        <v>0.3337893296853625</v>
      </c>
      <c r="AN59" s="9"/>
      <c r="AO59" s="24"/>
      <c r="AP59" s="24"/>
      <c r="AS59" s="24"/>
      <c r="AT59" s="24"/>
    </row>
    <row r="60" spans="1:46" ht="12">
      <c r="A60">
        <v>54</v>
      </c>
      <c r="B60">
        <v>70</v>
      </c>
      <c r="C60" s="9">
        <f t="shared" si="46"/>
        <v>54.8</v>
      </c>
      <c r="D60" s="24">
        <f>AVERAGE(B$7:B60)</f>
        <v>60.611111111111114</v>
      </c>
      <c r="E60" s="24">
        <f t="shared" si="47"/>
        <v>46.2</v>
      </c>
      <c r="G60">
        <v>92</v>
      </c>
      <c r="H60">
        <v>86</v>
      </c>
      <c r="I60">
        <v>78</v>
      </c>
      <c r="J60">
        <v>66</v>
      </c>
      <c r="K60">
        <v>41</v>
      </c>
      <c r="M60" s="9">
        <f>AVERAGE(G$7:G60)</f>
        <v>85.88888888888889</v>
      </c>
      <c r="N60" s="9">
        <f>AVERAGE(H$7:H60)</f>
        <v>76.11111111111111</v>
      </c>
      <c r="O60" s="9">
        <f>AVERAGE(I$7:I60)</f>
        <v>65.5</v>
      </c>
      <c r="P60" s="9">
        <f>AVERAGE(J$7:J60)</f>
        <v>53.2962962962963</v>
      </c>
      <c r="Q60" s="9">
        <f>AVERAGE(K$7:K60)</f>
        <v>37.46296296296296</v>
      </c>
      <c r="S60" s="9">
        <f t="shared" si="35"/>
        <v>85.88888888888889</v>
      </c>
      <c r="T60" s="6">
        <f t="shared" si="36"/>
        <v>0.8861578266494179</v>
      </c>
      <c r="U60" s="6">
        <f t="shared" si="37"/>
        <v>0.7626131953428202</v>
      </c>
      <c r="V60" s="6">
        <f t="shared" si="38"/>
        <v>0.6205260888313929</v>
      </c>
      <c r="W60" s="6">
        <f t="shared" si="39"/>
        <v>0.4361793876670979</v>
      </c>
      <c r="Y60" s="24">
        <f t="shared" si="48"/>
        <v>73.1</v>
      </c>
      <c r="Z60" s="24">
        <f t="shared" si="49"/>
        <v>61.1</v>
      </c>
      <c r="AA60" s="24">
        <f t="shared" si="50"/>
        <v>50</v>
      </c>
      <c r="AB60" s="24">
        <f t="shared" si="51"/>
        <v>38.3</v>
      </c>
      <c r="AC60" s="24">
        <f t="shared" si="52"/>
        <v>24.4</v>
      </c>
      <c r="AE60" s="6">
        <f t="shared" si="11"/>
        <v>0.731</v>
      </c>
      <c r="AF60" s="6">
        <f t="shared" si="12"/>
        <v>0.835841313269494</v>
      </c>
      <c r="AG60" s="6">
        <f t="shared" si="13"/>
        <v>0.6839945280437757</v>
      </c>
      <c r="AH60" s="6">
        <f t="shared" si="14"/>
        <v>0.5239398084815321</v>
      </c>
      <c r="AI60" s="6">
        <f t="shared" si="15"/>
        <v>0.3337893296853625</v>
      </c>
      <c r="AN60" s="9"/>
      <c r="AO60" s="24"/>
      <c r="AP60" s="24"/>
      <c r="AS60" s="24"/>
      <c r="AT60" s="24"/>
    </row>
    <row r="61" spans="1:46" ht="12">
      <c r="A61">
        <v>55</v>
      </c>
      <c r="B61">
        <v>45</v>
      </c>
      <c r="C61" s="9">
        <f t="shared" si="46"/>
        <v>55.7</v>
      </c>
      <c r="D61" s="24">
        <f>AVERAGE(B$7:B61)</f>
        <v>60.32727272727273</v>
      </c>
      <c r="E61" s="24">
        <f t="shared" si="47"/>
        <v>46.2</v>
      </c>
      <c r="G61">
        <v>73</v>
      </c>
      <c r="H61">
        <v>62</v>
      </c>
      <c r="I61">
        <v>49</v>
      </c>
      <c r="J61">
        <v>35</v>
      </c>
      <c r="K61">
        <v>23</v>
      </c>
      <c r="M61" s="9">
        <f>AVERAGE(G$7:G61)</f>
        <v>85.65454545454546</v>
      </c>
      <c r="N61" s="9">
        <f>AVERAGE(H$7:H61)</f>
        <v>75.85454545454546</v>
      </c>
      <c r="O61" s="9">
        <f>AVERAGE(I$7:I61)</f>
        <v>65.2</v>
      </c>
      <c r="P61" s="9">
        <f>AVERAGE(J$7:J61)</f>
        <v>52.96363636363636</v>
      </c>
      <c r="Q61" s="9">
        <f>AVERAGE(K$7:K61)</f>
        <v>37.2</v>
      </c>
      <c r="S61" s="9">
        <f t="shared" si="35"/>
        <v>85.65454545454546</v>
      </c>
      <c r="T61" s="6">
        <f t="shared" si="36"/>
        <v>0.8855869242199109</v>
      </c>
      <c r="U61" s="6">
        <f t="shared" si="37"/>
        <v>0.7611971980471238</v>
      </c>
      <c r="V61" s="6">
        <f t="shared" si="38"/>
        <v>0.6183400551899808</v>
      </c>
      <c r="W61" s="6">
        <f t="shared" si="39"/>
        <v>0.4343026958182976</v>
      </c>
      <c r="Y61" s="24">
        <f t="shared" si="48"/>
        <v>73.1</v>
      </c>
      <c r="Z61" s="24">
        <f t="shared" si="49"/>
        <v>61.1</v>
      </c>
      <c r="AA61" s="24">
        <f t="shared" si="50"/>
        <v>50</v>
      </c>
      <c r="AB61" s="24">
        <f t="shared" si="51"/>
        <v>38.3</v>
      </c>
      <c r="AC61" s="24">
        <f t="shared" si="52"/>
        <v>24.4</v>
      </c>
      <c r="AE61" s="6">
        <f t="shared" si="11"/>
        <v>0.731</v>
      </c>
      <c r="AF61" s="6">
        <f t="shared" si="12"/>
        <v>0.835841313269494</v>
      </c>
      <c r="AG61" s="6">
        <f t="shared" si="13"/>
        <v>0.6839945280437757</v>
      </c>
      <c r="AH61" s="6">
        <f t="shared" si="14"/>
        <v>0.5239398084815321</v>
      </c>
      <c r="AI61" s="6">
        <f t="shared" si="15"/>
        <v>0.3337893296853625</v>
      </c>
      <c r="AN61" s="9"/>
      <c r="AO61" s="24"/>
      <c r="AP61" s="24"/>
      <c r="AS61" s="24"/>
      <c r="AT61" s="24"/>
    </row>
    <row r="62" spans="1:46" ht="12">
      <c r="A62">
        <v>56</v>
      </c>
      <c r="B62">
        <v>22</v>
      </c>
      <c r="C62" s="9">
        <f t="shared" si="46"/>
        <v>53</v>
      </c>
      <c r="D62" s="24">
        <f>AVERAGE(B$7:B62)</f>
        <v>59.642857142857146</v>
      </c>
      <c r="E62" s="24">
        <f t="shared" si="47"/>
        <v>46.2</v>
      </c>
      <c r="G62">
        <v>47</v>
      </c>
      <c r="H62">
        <v>31</v>
      </c>
      <c r="I62">
        <v>21</v>
      </c>
      <c r="J62">
        <v>14</v>
      </c>
      <c r="K62">
        <v>12</v>
      </c>
      <c r="M62" s="9">
        <f>AVERAGE(G$7:G62)</f>
        <v>84.96428571428571</v>
      </c>
      <c r="N62" s="9">
        <f>AVERAGE(H$7:H62)</f>
        <v>75.05357142857143</v>
      </c>
      <c r="O62" s="9">
        <f>AVERAGE(I$7:I62)</f>
        <v>64.41071428571429</v>
      </c>
      <c r="P62" s="9">
        <f>AVERAGE(J$7:J62)</f>
        <v>52.267857142857146</v>
      </c>
      <c r="Q62" s="9">
        <f>AVERAGE(K$7:K62)</f>
        <v>36.75</v>
      </c>
      <c r="S62" s="9">
        <f t="shared" si="35"/>
        <v>84.96428571428571</v>
      </c>
      <c r="T62" s="6">
        <f t="shared" si="36"/>
        <v>0.8833543505674654</v>
      </c>
      <c r="U62" s="6">
        <f t="shared" si="37"/>
        <v>0.7580916351408156</v>
      </c>
      <c r="V62" s="6">
        <f t="shared" si="38"/>
        <v>0.6151744430432956</v>
      </c>
      <c r="W62" s="6">
        <f t="shared" si="39"/>
        <v>0.4325346784363178</v>
      </c>
      <c r="Y62" s="24">
        <f t="shared" si="48"/>
        <v>73.1</v>
      </c>
      <c r="Z62" s="24">
        <f t="shared" si="49"/>
        <v>61.1</v>
      </c>
      <c r="AA62" s="24">
        <f t="shared" si="50"/>
        <v>50</v>
      </c>
      <c r="AB62" s="24">
        <f t="shared" si="51"/>
        <v>38.3</v>
      </c>
      <c r="AC62" s="24">
        <f t="shared" si="52"/>
        <v>24.4</v>
      </c>
      <c r="AE62" s="6">
        <f t="shared" si="11"/>
        <v>0.731</v>
      </c>
      <c r="AF62" s="6">
        <f t="shared" si="12"/>
        <v>0.835841313269494</v>
      </c>
      <c r="AG62" s="6">
        <f t="shared" si="13"/>
        <v>0.6839945280437757</v>
      </c>
      <c r="AH62" s="6">
        <f t="shared" si="14"/>
        <v>0.5239398084815321</v>
      </c>
      <c r="AI62" s="6">
        <f t="shared" si="15"/>
        <v>0.3337893296853625</v>
      </c>
      <c r="AN62" s="9"/>
      <c r="AO62" s="24"/>
      <c r="AP62" s="24"/>
      <c r="AS62" s="24"/>
      <c r="AT62" s="24"/>
    </row>
    <row r="63" spans="1:46" ht="12">
      <c r="A63">
        <v>57</v>
      </c>
      <c r="B63">
        <v>33</v>
      </c>
      <c r="C63" s="9">
        <f t="shared" si="46"/>
        <v>51.5</v>
      </c>
      <c r="D63" s="24">
        <f>AVERAGE(B$7:B63)</f>
        <v>59.175438596491226</v>
      </c>
      <c r="E63" s="24">
        <f t="shared" si="47"/>
        <v>46.2</v>
      </c>
      <c r="G63">
        <v>68</v>
      </c>
      <c r="H63">
        <v>49</v>
      </c>
      <c r="I63">
        <v>35</v>
      </c>
      <c r="J63">
        <v>23</v>
      </c>
      <c r="K63">
        <v>13</v>
      </c>
      <c r="M63" s="9">
        <f>AVERAGE(G$7:G63)</f>
        <v>84.66666666666667</v>
      </c>
      <c r="N63" s="9">
        <f>AVERAGE(H$7:H63)</f>
        <v>74.59649122807018</v>
      </c>
      <c r="O63" s="9">
        <f>AVERAGE(I$7:I63)</f>
        <v>63.89473684210526</v>
      </c>
      <c r="P63" s="9">
        <f>AVERAGE(J$7:J63)</f>
        <v>51.75438596491228</v>
      </c>
      <c r="Q63" s="9">
        <f>AVERAGE(K$7:K63)</f>
        <v>36.333333333333336</v>
      </c>
      <c r="S63" s="9">
        <f t="shared" si="35"/>
        <v>84.66666666666667</v>
      </c>
      <c r="T63" s="6">
        <f t="shared" si="36"/>
        <v>0.8810609200165769</v>
      </c>
      <c r="U63" s="6">
        <f t="shared" si="37"/>
        <v>0.7546622461665975</v>
      </c>
      <c r="V63" s="6">
        <f t="shared" si="38"/>
        <v>0.6112722751761293</v>
      </c>
      <c r="W63" s="6">
        <f t="shared" si="39"/>
        <v>0.42913385826771655</v>
      </c>
      <c r="Y63" s="24">
        <f t="shared" si="48"/>
        <v>73.1</v>
      </c>
      <c r="Z63" s="24">
        <f t="shared" si="49"/>
        <v>61.1</v>
      </c>
      <c r="AA63" s="24">
        <f t="shared" si="50"/>
        <v>50</v>
      </c>
      <c r="AB63" s="24">
        <f t="shared" si="51"/>
        <v>38.3</v>
      </c>
      <c r="AC63" s="24">
        <f t="shared" si="52"/>
        <v>24.4</v>
      </c>
      <c r="AE63" s="6">
        <f t="shared" si="11"/>
        <v>0.731</v>
      </c>
      <c r="AF63" s="6">
        <f t="shared" si="12"/>
        <v>0.835841313269494</v>
      </c>
      <c r="AG63" s="6">
        <f t="shared" si="13"/>
        <v>0.6839945280437757</v>
      </c>
      <c r="AH63" s="6">
        <f t="shared" si="14"/>
        <v>0.5239398084815321</v>
      </c>
      <c r="AI63" s="6">
        <f t="shared" si="15"/>
        <v>0.3337893296853625</v>
      </c>
      <c r="AN63" s="9"/>
      <c r="AO63" s="24"/>
      <c r="AP63" s="24"/>
      <c r="AS63" s="24"/>
      <c r="AT63" s="24"/>
    </row>
    <row r="64" spans="1:46" ht="12">
      <c r="A64">
        <v>58</v>
      </c>
      <c r="B64">
        <v>25</v>
      </c>
      <c r="C64" s="9">
        <f t="shared" si="46"/>
        <v>46.8</v>
      </c>
      <c r="D64" s="24">
        <f>AVERAGE(B$7:B64)</f>
        <v>58.58620689655172</v>
      </c>
      <c r="E64" s="24">
        <f t="shared" si="47"/>
        <v>46.2</v>
      </c>
      <c r="G64">
        <v>47</v>
      </c>
      <c r="H64">
        <v>33</v>
      </c>
      <c r="I64">
        <v>25</v>
      </c>
      <c r="J64">
        <v>19</v>
      </c>
      <c r="K64">
        <v>12</v>
      </c>
      <c r="M64" s="9">
        <f>AVERAGE(G$7:G64)</f>
        <v>84.01724137931035</v>
      </c>
      <c r="N64" s="9">
        <f>AVERAGE(H$7:H64)</f>
        <v>73.87931034482759</v>
      </c>
      <c r="O64" s="9">
        <f>AVERAGE(I$7:I64)</f>
        <v>63.224137931034484</v>
      </c>
      <c r="P64" s="9">
        <f>AVERAGE(J$7:J64)</f>
        <v>51.189655172413794</v>
      </c>
      <c r="Q64" s="9">
        <f>AVERAGE(K$7:K64)</f>
        <v>35.91379310344828</v>
      </c>
      <c r="S64" s="9">
        <f t="shared" si="35"/>
        <v>84.01724137931035</v>
      </c>
      <c r="T64" s="6">
        <f t="shared" si="36"/>
        <v>0.8793351118407552</v>
      </c>
      <c r="U64" s="6">
        <f t="shared" si="37"/>
        <v>0.7525138518366509</v>
      </c>
      <c r="V64" s="6">
        <f t="shared" si="38"/>
        <v>0.6092756002462548</v>
      </c>
      <c r="W64" s="6">
        <f t="shared" si="39"/>
        <v>0.42745741842807305</v>
      </c>
      <c r="Y64" s="24">
        <f t="shared" si="48"/>
        <v>73.1</v>
      </c>
      <c r="Z64" s="24">
        <f t="shared" si="49"/>
        <v>61.1</v>
      </c>
      <c r="AA64" s="24">
        <f t="shared" si="50"/>
        <v>50</v>
      </c>
      <c r="AB64" s="24">
        <f t="shared" si="51"/>
        <v>38.3</v>
      </c>
      <c r="AC64" s="24">
        <f t="shared" si="52"/>
        <v>24.4</v>
      </c>
      <c r="AE64" s="6">
        <f t="shared" si="11"/>
        <v>0.731</v>
      </c>
      <c r="AF64" s="6">
        <f t="shared" si="12"/>
        <v>0.835841313269494</v>
      </c>
      <c r="AG64" s="6">
        <f t="shared" si="13"/>
        <v>0.6839945280437757</v>
      </c>
      <c r="AH64" s="6">
        <f t="shared" si="14"/>
        <v>0.5239398084815321</v>
      </c>
      <c r="AI64" s="6">
        <f t="shared" si="15"/>
        <v>0.3337893296853625</v>
      </c>
      <c r="AN64" s="9"/>
      <c r="AO64" s="24"/>
      <c r="AP64" s="24"/>
      <c r="AS64" s="24"/>
      <c r="AT64" s="24"/>
    </row>
    <row r="65" spans="1:46" ht="12">
      <c r="A65">
        <v>59</v>
      </c>
      <c r="B65">
        <v>61</v>
      </c>
      <c r="C65" s="9">
        <f t="shared" si="46"/>
        <v>46.1</v>
      </c>
      <c r="D65" s="24">
        <f>AVERAGE(B$7:B65)</f>
        <v>58.6271186440678</v>
      </c>
      <c r="E65" s="24">
        <f t="shared" si="47"/>
        <v>46.2</v>
      </c>
      <c r="G65">
        <v>83</v>
      </c>
      <c r="H65">
        <v>75</v>
      </c>
      <c r="I65">
        <v>67</v>
      </c>
      <c r="J65">
        <v>55</v>
      </c>
      <c r="K65">
        <v>37</v>
      </c>
      <c r="M65" s="9">
        <f>AVERAGE(G$7:G65)</f>
        <v>84</v>
      </c>
      <c r="N65" s="9">
        <f>AVERAGE(H$7:H65)</f>
        <v>73.89830508474576</v>
      </c>
      <c r="O65" s="9">
        <f>AVERAGE(I$7:I65)</f>
        <v>63.28813559322034</v>
      </c>
      <c r="P65" s="9">
        <f>AVERAGE(J$7:J65)</f>
        <v>51.25423728813559</v>
      </c>
      <c r="Q65" s="9">
        <f>AVERAGE(K$7:K65)</f>
        <v>35.932203389830505</v>
      </c>
      <c r="S65" s="9">
        <f t="shared" si="35"/>
        <v>84</v>
      </c>
      <c r="T65" s="6">
        <f t="shared" si="36"/>
        <v>0.8797417271993543</v>
      </c>
      <c r="U65" s="6">
        <f t="shared" si="37"/>
        <v>0.7534301856335754</v>
      </c>
      <c r="V65" s="6">
        <f t="shared" si="38"/>
        <v>0.6101694915254237</v>
      </c>
      <c r="W65" s="6">
        <f t="shared" si="39"/>
        <v>0.4277643260694108</v>
      </c>
      <c r="Y65" s="24">
        <f t="shared" si="48"/>
        <v>73.1</v>
      </c>
      <c r="Z65" s="24">
        <f t="shared" si="49"/>
        <v>61.1</v>
      </c>
      <c r="AA65" s="24">
        <f t="shared" si="50"/>
        <v>50</v>
      </c>
      <c r="AB65" s="24">
        <f t="shared" si="51"/>
        <v>38.3</v>
      </c>
      <c r="AC65" s="24">
        <f t="shared" si="52"/>
        <v>24.4</v>
      </c>
      <c r="AE65" s="6">
        <f t="shared" si="11"/>
        <v>0.731</v>
      </c>
      <c r="AF65" s="6">
        <f t="shared" si="12"/>
        <v>0.835841313269494</v>
      </c>
      <c r="AG65" s="6">
        <f t="shared" si="13"/>
        <v>0.6839945280437757</v>
      </c>
      <c r="AH65" s="6">
        <f t="shared" si="14"/>
        <v>0.5239398084815321</v>
      </c>
      <c r="AI65" s="6">
        <f t="shared" si="15"/>
        <v>0.3337893296853625</v>
      </c>
      <c r="AN65" s="9"/>
      <c r="AO65" s="24"/>
      <c r="AP65" s="24"/>
      <c r="AS65" s="24"/>
      <c r="AT65" s="24"/>
    </row>
    <row r="66" spans="1:46" ht="12">
      <c r="A66">
        <v>60</v>
      </c>
      <c r="B66">
        <v>43</v>
      </c>
      <c r="C66" s="9">
        <f t="shared" si="46"/>
        <v>46.2</v>
      </c>
      <c r="D66" s="24">
        <f>AVERAGE(B$7:B66)</f>
        <v>58.36666666666667</v>
      </c>
      <c r="E66" s="24">
        <f t="shared" si="47"/>
        <v>46.2</v>
      </c>
      <c r="G66">
        <v>82</v>
      </c>
      <c r="H66">
        <v>65</v>
      </c>
      <c r="I66">
        <v>47</v>
      </c>
      <c r="J66">
        <v>29</v>
      </c>
      <c r="K66">
        <v>16</v>
      </c>
      <c r="M66" s="9">
        <f>AVERAGE(G$7:G66)</f>
        <v>83.96666666666667</v>
      </c>
      <c r="N66" s="9">
        <f>AVERAGE(H$7:H66)</f>
        <v>73.75</v>
      </c>
      <c r="O66" s="9">
        <f>AVERAGE(I$7:I66)</f>
        <v>63.016666666666666</v>
      </c>
      <c r="P66" s="9">
        <f>AVERAGE(J$7:J66)</f>
        <v>50.88333333333333</v>
      </c>
      <c r="Q66" s="9">
        <f>AVERAGE(K$7:K66)</f>
        <v>35.6</v>
      </c>
      <c r="S66" s="9">
        <f t="shared" si="35"/>
        <v>83.96666666666667</v>
      </c>
      <c r="T66" s="6">
        <f t="shared" si="36"/>
        <v>0.8783247320365224</v>
      </c>
      <c r="U66" s="6">
        <f t="shared" si="37"/>
        <v>0.7504962286621675</v>
      </c>
      <c r="V66" s="6">
        <f t="shared" si="38"/>
        <v>0.6059944422389837</v>
      </c>
      <c r="W66" s="6">
        <f t="shared" si="39"/>
        <v>0.4239777689559349</v>
      </c>
      <c r="Y66" s="24">
        <f t="shared" si="48"/>
        <v>73.1</v>
      </c>
      <c r="Z66" s="24">
        <f t="shared" si="49"/>
        <v>61.1</v>
      </c>
      <c r="AA66" s="24">
        <f t="shared" si="50"/>
        <v>50</v>
      </c>
      <c r="AB66" s="24">
        <f t="shared" si="51"/>
        <v>38.3</v>
      </c>
      <c r="AC66" s="24">
        <f t="shared" si="52"/>
        <v>24.4</v>
      </c>
      <c r="AE66" s="6">
        <f t="shared" si="11"/>
        <v>0.731</v>
      </c>
      <c r="AF66" s="6">
        <f t="shared" si="12"/>
        <v>0.835841313269494</v>
      </c>
      <c r="AG66" s="6">
        <f t="shared" si="13"/>
        <v>0.6839945280437757</v>
      </c>
      <c r="AH66" s="6">
        <f t="shared" si="14"/>
        <v>0.5239398084815321</v>
      </c>
      <c r="AI66" s="6">
        <f t="shared" si="15"/>
        <v>0.3337893296853625</v>
      </c>
      <c r="AN66" s="9"/>
      <c r="AO66" s="24"/>
      <c r="AP66" s="24"/>
      <c r="AS66" s="24"/>
      <c r="AT66" s="24"/>
    </row>
    <row r="67" spans="1:46" ht="12">
      <c r="A67">
        <v>61</v>
      </c>
      <c r="B67">
        <v>87</v>
      </c>
      <c r="C67" s="9">
        <f t="shared" si="46"/>
        <v>50</v>
      </c>
      <c r="D67" s="24">
        <f>AVERAGE(B$7:B67)</f>
        <v>58.83606557377049</v>
      </c>
      <c r="E67" s="24">
        <f aca="true" t="shared" si="53" ref="E67:E76">AVERAGE(B$67:B$76)</f>
        <v>53.6</v>
      </c>
      <c r="G67">
        <v>96</v>
      </c>
      <c r="H67">
        <v>94</v>
      </c>
      <c r="I67">
        <v>91</v>
      </c>
      <c r="J67">
        <v>87</v>
      </c>
      <c r="K67">
        <v>72</v>
      </c>
      <c r="M67" s="9">
        <f>AVERAGE(G$7:G67)</f>
        <v>84.1639344262295</v>
      </c>
      <c r="N67" s="9">
        <f>AVERAGE(H$7:H67)</f>
        <v>74.08196721311475</v>
      </c>
      <c r="O67" s="9">
        <f>AVERAGE(I$7:I67)</f>
        <v>63.47540983606557</v>
      </c>
      <c r="P67" s="9">
        <f>AVERAGE(J$7:J67)</f>
        <v>51.47540983606557</v>
      </c>
      <c r="Q67" s="9">
        <f>AVERAGE(K$7:K67)</f>
        <v>36.19672131147541</v>
      </c>
      <c r="S67" s="9">
        <f t="shared" si="35"/>
        <v>84.1639344262295</v>
      </c>
      <c r="T67" s="6">
        <f t="shared" si="36"/>
        <v>0.8802103622906117</v>
      </c>
      <c r="U67" s="6">
        <f t="shared" si="37"/>
        <v>0.7541877678223607</v>
      </c>
      <c r="V67" s="6">
        <f t="shared" si="38"/>
        <v>0.6116088819633814</v>
      </c>
      <c r="W67" s="6">
        <f t="shared" si="39"/>
        <v>0.4300740163615115</v>
      </c>
      <c r="Y67" s="24">
        <f aca="true" t="shared" si="54" ref="Y67:Y76">AVERAGE(G$67:G$76)</f>
        <v>81.3</v>
      </c>
      <c r="Z67" s="24">
        <f aca="true" t="shared" si="55" ref="Z67:Z76">AVERAGE(H$67:H$76)</f>
        <v>69.9</v>
      </c>
      <c r="AA67" s="24">
        <f aca="true" t="shared" si="56" ref="AA67:AA76">AVERAGE(I$67:I$76)</f>
        <v>57.8</v>
      </c>
      <c r="AB67" s="24">
        <f aca="true" t="shared" si="57" ref="AB67:AB76">AVERAGE(J$67:J$76)</f>
        <v>45.4</v>
      </c>
      <c r="AC67" s="24">
        <f aca="true" t="shared" si="58" ref="AC67:AC76">AVERAGE(K$67:K$76)</f>
        <v>30.5</v>
      </c>
      <c r="AE67" s="6">
        <f t="shared" si="11"/>
        <v>0.813</v>
      </c>
      <c r="AF67" s="6">
        <f t="shared" si="12"/>
        <v>0.859778597785978</v>
      </c>
      <c r="AG67" s="6">
        <f t="shared" si="13"/>
        <v>0.7109471094710947</v>
      </c>
      <c r="AH67" s="6">
        <f t="shared" si="14"/>
        <v>0.5584255842558425</v>
      </c>
      <c r="AI67" s="6">
        <f t="shared" si="15"/>
        <v>0.3751537515375154</v>
      </c>
      <c r="AN67" s="9"/>
      <c r="AO67" s="24"/>
      <c r="AP67" s="24"/>
      <c r="AS67" s="24"/>
      <c r="AT67" s="24"/>
    </row>
    <row r="68" spans="1:46" ht="12">
      <c r="A68">
        <v>62</v>
      </c>
      <c r="B68">
        <v>68</v>
      </c>
      <c r="C68" s="9">
        <f t="shared" si="46"/>
        <v>49.4</v>
      </c>
      <c r="D68" s="24">
        <f>AVERAGE(B$7:B68)</f>
        <v>58.983870967741936</v>
      </c>
      <c r="E68" s="24">
        <f t="shared" si="53"/>
        <v>53.6</v>
      </c>
      <c r="G68">
        <v>89</v>
      </c>
      <c r="H68">
        <v>83</v>
      </c>
      <c r="I68">
        <v>74</v>
      </c>
      <c r="J68">
        <v>62</v>
      </c>
      <c r="K68">
        <v>43</v>
      </c>
      <c r="M68" s="9">
        <f>AVERAGE(G$7:G68)</f>
        <v>84.24193548387096</v>
      </c>
      <c r="N68" s="9">
        <f>AVERAGE(H$7:H68)</f>
        <v>74.2258064516129</v>
      </c>
      <c r="O68" s="9">
        <f>AVERAGE(I$7:I68)</f>
        <v>63.645161290322584</v>
      </c>
      <c r="P68" s="9">
        <f>AVERAGE(J$7:J68)</f>
        <v>51.645161290322584</v>
      </c>
      <c r="Q68" s="9">
        <f>AVERAGE(K$7:K68)</f>
        <v>36.306451612903224</v>
      </c>
      <c r="S68" s="9">
        <f t="shared" si="35"/>
        <v>84.24193548387096</v>
      </c>
      <c r="T68" s="6">
        <f t="shared" si="36"/>
        <v>0.8811028144744399</v>
      </c>
      <c r="U68" s="6">
        <f t="shared" si="37"/>
        <v>0.7555044993298872</v>
      </c>
      <c r="V68" s="6">
        <f t="shared" si="38"/>
        <v>0.6130576297147234</v>
      </c>
      <c r="W68" s="6">
        <f t="shared" si="39"/>
        <v>0.43097836492437297</v>
      </c>
      <c r="Y68" s="24">
        <f t="shared" si="54"/>
        <v>81.3</v>
      </c>
      <c r="Z68" s="24">
        <f t="shared" si="55"/>
        <v>69.9</v>
      </c>
      <c r="AA68" s="24">
        <f t="shared" si="56"/>
        <v>57.8</v>
      </c>
      <c r="AB68" s="24">
        <f t="shared" si="57"/>
        <v>45.4</v>
      </c>
      <c r="AC68" s="24">
        <f t="shared" si="58"/>
        <v>30.5</v>
      </c>
      <c r="AE68" s="6">
        <f t="shared" si="11"/>
        <v>0.813</v>
      </c>
      <c r="AF68" s="6">
        <f t="shared" si="12"/>
        <v>0.859778597785978</v>
      </c>
      <c r="AG68" s="6">
        <f t="shared" si="13"/>
        <v>0.7109471094710947</v>
      </c>
      <c r="AH68" s="6">
        <f t="shared" si="14"/>
        <v>0.5584255842558425</v>
      </c>
      <c r="AI68" s="6">
        <f t="shared" si="15"/>
        <v>0.3751537515375154</v>
      </c>
      <c r="AN68" s="9"/>
      <c r="AO68" s="24"/>
      <c r="AP68" s="24"/>
      <c r="AS68" s="24"/>
      <c r="AT68" s="24"/>
    </row>
    <row r="69" spans="1:46" ht="12">
      <c r="A69">
        <v>63</v>
      </c>
      <c r="B69">
        <v>37</v>
      </c>
      <c r="C69" s="9">
        <f t="shared" si="46"/>
        <v>49.1</v>
      </c>
      <c r="D69" s="24">
        <f>AVERAGE(B$7:B69)</f>
        <v>58.63492063492063</v>
      </c>
      <c r="E69" s="24">
        <f t="shared" si="53"/>
        <v>53.6</v>
      </c>
      <c r="G69">
        <v>82</v>
      </c>
      <c r="H69">
        <v>61</v>
      </c>
      <c r="I69">
        <v>40</v>
      </c>
      <c r="J69">
        <v>21</v>
      </c>
      <c r="K69">
        <v>11</v>
      </c>
      <c r="M69" s="9">
        <f>AVERAGE(G$7:G69)</f>
        <v>84.2063492063492</v>
      </c>
      <c r="N69" s="9">
        <f>AVERAGE(H$7:H69)</f>
        <v>74.01587301587301</v>
      </c>
      <c r="O69" s="9">
        <f>AVERAGE(I$7:I69)</f>
        <v>63.26984126984127</v>
      </c>
      <c r="P69" s="9">
        <f>AVERAGE(J$7:J69)</f>
        <v>51.15873015873016</v>
      </c>
      <c r="Q69" s="9">
        <f>AVERAGE(K$7:K69)</f>
        <v>35.904761904761905</v>
      </c>
      <c r="S69" s="9">
        <f t="shared" si="35"/>
        <v>84.2063492063492</v>
      </c>
      <c r="T69" s="6">
        <f t="shared" si="36"/>
        <v>0.8789820923656927</v>
      </c>
      <c r="U69" s="6">
        <f t="shared" si="37"/>
        <v>0.7513666352497644</v>
      </c>
      <c r="V69" s="6">
        <f t="shared" si="38"/>
        <v>0.6075400565504242</v>
      </c>
      <c r="W69" s="6">
        <f t="shared" si="39"/>
        <v>0.42639019792648447</v>
      </c>
      <c r="Y69" s="24">
        <f t="shared" si="54"/>
        <v>81.3</v>
      </c>
      <c r="Z69" s="24">
        <f t="shared" si="55"/>
        <v>69.9</v>
      </c>
      <c r="AA69" s="24">
        <f t="shared" si="56"/>
        <v>57.8</v>
      </c>
      <c r="AB69" s="24">
        <f t="shared" si="57"/>
        <v>45.4</v>
      </c>
      <c r="AC69" s="24">
        <f t="shared" si="58"/>
        <v>30.5</v>
      </c>
      <c r="AE69" s="6">
        <f t="shared" si="11"/>
        <v>0.813</v>
      </c>
      <c r="AF69" s="6">
        <f t="shared" si="12"/>
        <v>0.859778597785978</v>
      </c>
      <c r="AG69" s="6">
        <f t="shared" si="13"/>
        <v>0.7109471094710947</v>
      </c>
      <c r="AH69" s="6">
        <f t="shared" si="14"/>
        <v>0.5584255842558425</v>
      </c>
      <c r="AI69" s="6">
        <f t="shared" si="15"/>
        <v>0.3751537515375154</v>
      </c>
      <c r="AN69" s="9"/>
      <c r="AO69" s="24"/>
      <c r="AP69" s="24"/>
      <c r="AS69" s="24"/>
      <c r="AT69" s="24"/>
    </row>
    <row r="70" spans="1:46" ht="12">
      <c r="A70">
        <v>64</v>
      </c>
      <c r="B70">
        <v>44</v>
      </c>
      <c r="C70" s="9">
        <f t="shared" si="46"/>
        <v>46.5</v>
      </c>
      <c r="D70" s="24">
        <f>AVERAGE(B$7:B70)</f>
        <v>58.40625</v>
      </c>
      <c r="E70" s="24">
        <f t="shared" si="53"/>
        <v>53.6</v>
      </c>
      <c r="G70">
        <v>66</v>
      </c>
      <c r="H70">
        <v>58</v>
      </c>
      <c r="I70">
        <v>50</v>
      </c>
      <c r="J70">
        <v>38</v>
      </c>
      <c r="K70">
        <v>20</v>
      </c>
      <c r="M70" s="9">
        <f>AVERAGE(G$7:G70)</f>
        <v>83.921875</v>
      </c>
      <c r="N70" s="9">
        <f>AVERAGE(H$7:H70)</f>
        <v>73.765625</v>
      </c>
      <c r="O70" s="9">
        <f>AVERAGE(I$7:I70)</f>
        <v>63.0625</v>
      </c>
      <c r="P70" s="9">
        <f>AVERAGE(J$7:J70)</f>
        <v>50.953125</v>
      </c>
      <c r="Q70" s="9">
        <f>AVERAGE(K$7:K70)</f>
        <v>35.65625</v>
      </c>
      <c r="S70" s="9">
        <f t="shared" si="35"/>
        <v>83.921875</v>
      </c>
      <c r="T70" s="6">
        <f t="shared" si="36"/>
        <v>0.8789797058275927</v>
      </c>
      <c r="U70" s="6">
        <f t="shared" si="37"/>
        <v>0.751442934276671</v>
      </c>
      <c r="V70" s="6">
        <f t="shared" si="38"/>
        <v>0.6071495066095699</v>
      </c>
      <c r="W70" s="6">
        <f t="shared" si="39"/>
        <v>0.42487432507912865</v>
      </c>
      <c r="Y70" s="24">
        <f t="shared" si="54"/>
        <v>81.3</v>
      </c>
      <c r="Z70" s="24">
        <f t="shared" si="55"/>
        <v>69.9</v>
      </c>
      <c r="AA70" s="24">
        <f t="shared" si="56"/>
        <v>57.8</v>
      </c>
      <c r="AB70" s="24">
        <f t="shared" si="57"/>
        <v>45.4</v>
      </c>
      <c r="AC70" s="24">
        <f t="shared" si="58"/>
        <v>30.5</v>
      </c>
      <c r="AE70" s="6">
        <f t="shared" si="11"/>
        <v>0.813</v>
      </c>
      <c r="AF70" s="6">
        <f t="shared" si="12"/>
        <v>0.859778597785978</v>
      </c>
      <c r="AG70" s="6">
        <f t="shared" si="13"/>
        <v>0.7109471094710947</v>
      </c>
      <c r="AH70" s="6">
        <f t="shared" si="14"/>
        <v>0.5584255842558425</v>
      </c>
      <c r="AI70" s="6">
        <f t="shared" si="15"/>
        <v>0.3751537515375154</v>
      </c>
      <c r="AN70" s="9"/>
      <c r="AO70" s="24"/>
      <c r="AP70" s="24"/>
      <c r="AS70" s="24"/>
      <c r="AT70" s="24"/>
    </row>
    <row r="71" spans="1:46" ht="12">
      <c r="A71">
        <v>65</v>
      </c>
      <c r="B71">
        <v>80</v>
      </c>
      <c r="C71" s="9">
        <f t="shared" si="46"/>
        <v>50</v>
      </c>
      <c r="D71" s="24">
        <f>AVERAGE(B$7:B71)</f>
        <v>58.738461538461536</v>
      </c>
      <c r="E71" s="24">
        <f t="shared" si="53"/>
        <v>53.6</v>
      </c>
      <c r="G71">
        <v>98</v>
      </c>
      <c r="H71">
        <v>95</v>
      </c>
      <c r="I71">
        <v>89</v>
      </c>
      <c r="J71">
        <v>77</v>
      </c>
      <c r="K71">
        <v>52</v>
      </c>
      <c r="M71" s="9">
        <f>AVERAGE(G$7:G71)</f>
        <v>84.13846153846154</v>
      </c>
      <c r="N71" s="9">
        <f>AVERAGE(H$7:H71)</f>
        <v>74.0923076923077</v>
      </c>
      <c r="O71" s="9">
        <f>AVERAGE(I$7:I71)</f>
        <v>63.46153846153846</v>
      </c>
      <c r="P71" s="9">
        <f>AVERAGE(J$7:J71)</f>
        <v>51.353846153846156</v>
      </c>
      <c r="Q71" s="9">
        <f>AVERAGE(K$7:K71)</f>
        <v>35.90769230769231</v>
      </c>
      <c r="S71" s="9">
        <f aca="true" t="shared" si="59" ref="S71:S76">M71</f>
        <v>84.13846153846154</v>
      </c>
      <c r="T71" s="6">
        <f aca="true" t="shared" si="60" ref="T71:T76">N71/$M71</f>
        <v>0.8805997440117024</v>
      </c>
      <c r="U71" s="6">
        <f aca="true" t="shared" si="61" ref="U71:U76">O71/$M71</f>
        <v>0.7542512342292923</v>
      </c>
      <c r="V71" s="6">
        <f aca="true" t="shared" si="62" ref="V71:V76">P71/$M71</f>
        <v>0.6103492411775462</v>
      </c>
      <c r="W71" s="6">
        <f aca="true" t="shared" si="63" ref="W71:W76">Q71/$M71</f>
        <v>0.4267690619857378</v>
      </c>
      <c r="Y71" s="24">
        <f t="shared" si="54"/>
        <v>81.3</v>
      </c>
      <c r="Z71" s="24">
        <f t="shared" si="55"/>
        <v>69.9</v>
      </c>
      <c r="AA71" s="24">
        <f t="shared" si="56"/>
        <v>57.8</v>
      </c>
      <c r="AB71" s="24">
        <f t="shared" si="57"/>
        <v>45.4</v>
      </c>
      <c r="AC71" s="24">
        <f t="shared" si="58"/>
        <v>30.5</v>
      </c>
      <c r="AE71" s="6">
        <f t="shared" si="11"/>
        <v>0.813</v>
      </c>
      <c r="AF71" s="6">
        <f t="shared" si="12"/>
        <v>0.859778597785978</v>
      </c>
      <c r="AG71" s="6">
        <f t="shared" si="13"/>
        <v>0.7109471094710947</v>
      </c>
      <c r="AH71" s="6">
        <f t="shared" si="14"/>
        <v>0.5584255842558425</v>
      </c>
      <c r="AI71" s="6">
        <f t="shared" si="15"/>
        <v>0.3751537515375154</v>
      </c>
      <c r="AN71" s="9"/>
      <c r="AO71" s="24"/>
      <c r="AP71" s="24"/>
      <c r="AS71" s="24"/>
      <c r="AT71" s="24"/>
    </row>
    <row r="72" spans="1:46" ht="12">
      <c r="A72">
        <v>66</v>
      </c>
      <c r="B72">
        <v>62</v>
      </c>
      <c r="C72" s="9">
        <f t="shared" si="46"/>
        <v>54</v>
      </c>
      <c r="D72" s="24">
        <f>AVERAGE(B$7:B72)</f>
        <v>58.78787878787879</v>
      </c>
      <c r="E72" s="24">
        <f t="shared" si="53"/>
        <v>53.6</v>
      </c>
      <c r="G72">
        <v>87</v>
      </c>
      <c r="H72">
        <v>78</v>
      </c>
      <c r="I72">
        <v>68</v>
      </c>
      <c r="J72">
        <v>56</v>
      </c>
      <c r="K72">
        <v>38</v>
      </c>
      <c r="M72" s="9">
        <f>AVERAGE(G$7:G72)</f>
        <v>84.18181818181819</v>
      </c>
      <c r="N72" s="9">
        <f>AVERAGE(H$7:H72)</f>
        <v>74.15151515151516</v>
      </c>
      <c r="O72" s="9">
        <f>AVERAGE(I$7:I72)</f>
        <v>63.53030303030303</v>
      </c>
      <c r="P72" s="9">
        <f>AVERAGE(J$7:J72)</f>
        <v>51.42424242424242</v>
      </c>
      <c r="Q72" s="9">
        <f>AVERAGE(K$7:K72)</f>
        <v>35.93939393939394</v>
      </c>
      <c r="S72" s="9">
        <f t="shared" si="59"/>
        <v>84.18181818181819</v>
      </c>
      <c r="T72" s="6">
        <f t="shared" si="60"/>
        <v>0.880849532037437</v>
      </c>
      <c r="U72" s="6">
        <f t="shared" si="61"/>
        <v>0.7546796256299496</v>
      </c>
      <c r="V72" s="6">
        <f t="shared" si="62"/>
        <v>0.6108711303095752</v>
      </c>
      <c r="W72" s="6">
        <f t="shared" si="63"/>
        <v>0.42692584593232535</v>
      </c>
      <c r="Y72" s="24">
        <f t="shared" si="54"/>
        <v>81.3</v>
      </c>
      <c r="Z72" s="24">
        <f t="shared" si="55"/>
        <v>69.9</v>
      </c>
      <c r="AA72" s="24">
        <f t="shared" si="56"/>
        <v>57.8</v>
      </c>
      <c r="AB72" s="24">
        <f t="shared" si="57"/>
        <v>45.4</v>
      </c>
      <c r="AC72" s="24">
        <f t="shared" si="58"/>
        <v>30.5</v>
      </c>
      <c r="AE72" s="6">
        <f>Y72*0.01</f>
        <v>0.813</v>
      </c>
      <c r="AF72" s="6">
        <f>(Z72/Y72)</f>
        <v>0.859778597785978</v>
      </c>
      <c r="AG72" s="6">
        <f>(AA72/Y72)</f>
        <v>0.7109471094710947</v>
      </c>
      <c r="AH72" s="6">
        <f>AB72/Y72</f>
        <v>0.5584255842558425</v>
      </c>
      <c r="AI72" s="6">
        <f>AC72/Y72</f>
        <v>0.3751537515375154</v>
      </c>
      <c r="AN72" s="9"/>
      <c r="AO72" s="24"/>
      <c r="AP72" s="24"/>
      <c r="AS72" s="24"/>
      <c r="AT72" s="24"/>
    </row>
    <row r="73" spans="1:46" ht="12">
      <c r="A73">
        <v>67</v>
      </c>
      <c r="B73">
        <v>37</v>
      </c>
      <c r="C73" s="9">
        <f t="shared" si="46"/>
        <v>54.4</v>
      </c>
      <c r="D73" s="24">
        <f>AVERAGE(B$7:B73)</f>
        <v>58.46268656716418</v>
      </c>
      <c r="E73" s="24">
        <f t="shared" si="53"/>
        <v>53.6</v>
      </c>
      <c r="G73">
        <v>77</v>
      </c>
      <c r="H73">
        <v>57</v>
      </c>
      <c r="I73">
        <v>37</v>
      </c>
      <c r="J73">
        <v>23</v>
      </c>
      <c r="K73">
        <v>16</v>
      </c>
      <c r="M73" s="9">
        <f>AVERAGE(G$7:G73)</f>
        <v>84.07462686567165</v>
      </c>
      <c r="N73" s="9">
        <f>AVERAGE(H$7:H73)</f>
        <v>73.8955223880597</v>
      </c>
      <c r="O73" s="9">
        <f>AVERAGE(I$7:I73)</f>
        <v>63.134328358208954</v>
      </c>
      <c r="P73" s="9">
        <f>AVERAGE(J$7:J73)</f>
        <v>51</v>
      </c>
      <c r="Q73" s="9">
        <f>AVERAGE(K$7:K73)</f>
        <v>35.64179104477612</v>
      </c>
      <c r="S73" s="9">
        <f t="shared" si="59"/>
        <v>84.07462686567165</v>
      </c>
      <c r="T73" s="6">
        <f t="shared" si="60"/>
        <v>0.8789277472039765</v>
      </c>
      <c r="U73" s="6">
        <f t="shared" si="61"/>
        <v>0.750932007811113</v>
      </c>
      <c r="V73" s="6">
        <f t="shared" si="62"/>
        <v>0.6066039410616012</v>
      </c>
      <c r="W73" s="6">
        <f t="shared" si="63"/>
        <v>0.42393041008343685</v>
      </c>
      <c r="Y73" s="24">
        <f t="shared" si="54"/>
        <v>81.3</v>
      </c>
      <c r="Z73" s="24">
        <f t="shared" si="55"/>
        <v>69.9</v>
      </c>
      <c r="AA73" s="24">
        <f t="shared" si="56"/>
        <v>57.8</v>
      </c>
      <c r="AB73" s="24">
        <f t="shared" si="57"/>
        <v>45.4</v>
      </c>
      <c r="AC73" s="24">
        <f t="shared" si="58"/>
        <v>30.5</v>
      </c>
      <c r="AE73" s="6">
        <f>Y73*0.01</f>
        <v>0.813</v>
      </c>
      <c r="AF73" s="6">
        <f>(Z73/Y73)</f>
        <v>0.859778597785978</v>
      </c>
      <c r="AG73" s="6">
        <f>(AA73/Y73)</f>
        <v>0.7109471094710947</v>
      </c>
      <c r="AH73" s="6">
        <f>AB73/Y73</f>
        <v>0.5584255842558425</v>
      </c>
      <c r="AI73" s="6">
        <f>AC73/Y73</f>
        <v>0.3751537515375154</v>
      </c>
      <c r="AN73" s="9"/>
      <c r="AO73" s="24"/>
      <c r="AP73" s="24"/>
      <c r="AS73" s="24"/>
      <c r="AT73" s="24"/>
    </row>
    <row r="74" spans="1:46" ht="12">
      <c r="A74">
        <v>68</v>
      </c>
      <c r="B74">
        <v>34</v>
      </c>
      <c r="C74" s="9">
        <f t="shared" si="46"/>
        <v>55.3</v>
      </c>
      <c r="D74" s="24">
        <f>AVERAGE(B$7:B74)</f>
        <v>58.10294117647059</v>
      </c>
      <c r="E74" s="24">
        <f t="shared" si="53"/>
        <v>53.6</v>
      </c>
      <c r="G74">
        <v>66</v>
      </c>
      <c r="H74">
        <v>51</v>
      </c>
      <c r="I74">
        <v>36</v>
      </c>
      <c r="J74">
        <v>23</v>
      </c>
      <c r="K74">
        <v>14</v>
      </c>
      <c r="M74" s="9">
        <f>AVERAGE(G$7:G74)</f>
        <v>83.80882352941177</v>
      </c>
      <c r="N74" s="9">
        <f>AVERAGE(H$7:H74)</f>
        <v>73.55882352941177</v>
      </c>
      <c r="O74" s="9">
        <f>AVERAGE(I$7:I74)</f>
        <v>62.73529411764706</v>
      </c>
      <c r="P74" s="9">
        <f>AVERAGE(J$7:J74)</f>
        <v>50.588235294117645</v>
      </c>
      <c r="Q74" s="9">
        <f>AVERAGE(K$7:K74)</f>
        <v>35.3235294117647</v>
      </c>
      <c r="S74" s="9">
        <f t="shared" si="59"/>
        <v>83.80882352941177</v>
      </c>
      <c r="T74" s="6">
        <f t="shared" si="60"/>
        <v>0.8776978417266187</v>
      </c>
      <c r="U74" s="6">
        <f t="shared" si="61"/>
        <v>0.748552377610107</v>
      </c>
      <c r="V74" s="6">
        <f t="shared" si="62"/>
        <v>0.6036146692402176</v>
      </c>
      <c r="W74" s="6">
        <f t="shared" si="63"/>
        <v>0.42147745218459376</v>
      </c>
      <c r="Y74" s="24">
        <f t="shared" si="54"/>
        <v>81.3</v>
      </c>
      <c r="Z74" s="24">
        <f t="shared" si="55"/>
        <v>69.9</v>
      </c>
      <c r="AA74" s="24">
        <f t="shared" si="56"/>
        <v>57.8</v>
      </c>
      <c r="AB74" s="24">
        <f t="shared" si="57"/>
        <v>45.4</v>
      </c>
      <c r="AC74" s="24">
        <f t="shared" si="58"/>
        <v>30.5</v>
      </c>
      <c r="AE74" s="6">
        <f>Y74*0.01</f>
        <v>0.813</v>
      </c>
      <c r="AF74" s="6">
        <f>(Z74/Y74)</f>
        <v>0.859778597785978</v>
      </c>
      <c r="AG74" s="6">
        <f>(AA74/Y74)</f>
        <v>0.7109471094710947</v>
      </c>
      <c r="AH74" s="6">
        <f>AB74/Y74</f>
        <v>0.5584255842558425</v>
      </c>
      <c r="AI74" s="6">
        <f>AC74/Y74</f>
        <v>0.3751537515375154</v>
      </c>
      <c r="AN74" s="9"/>
      <c r="AO74" s="24"/>
      <c r="AP74" s="24"/>
      <c r="AS74" s="24"/>
      <c r="AT74" s="24"/>
    </row>
    <row r="75" spans="1:46" ht="12">
      <c r="A75">
        <v>69</v>
      </c>
      <c r="B75">
        <v>48</v>
      </c>
      <c r="C75" s="9">
        <f t="shared" si="46"/>
        <v>54</v>
      </c>
      <c r="D75" s="24">
        <f>AVERAGE(B$7:B75)</f>
        <v>57.95652173913044</v>
      </c>
      <c r="E75" s="24">
        <f t="shared" si="53"/>
        <v>53.6</v>
      </c>
      <c r="G75">
        <v>74</v>
      </c>
      <c r="H75">
        <v>64</v>
      </c>
      <c r="I75">
        <v>51</v>
      </c>
      <c r="J75">
        <v>40</v>
      </c>
      <c r="K75">
        <v>25</v>
      </c>
      <c r="M75" s="9">
        <f>AVERAGE(G$7:G75)</f>
        <v>83.66666666666667</v>
      </c>
      <c r="N75" s="9">
        <f>AVERAGE(H$7:H75)</f>
        <v>73.42028985507247</v>
      </c>
      <c r="O75" s="9">
        <f>AVERAGE(I$7:I75)</f>
        <v>62.56521739130435</v>
      </c>
      <c r="P75" s="9">
        <f>AVERAGE(J$7:J75)</f>
        <v>50.43478260869565</v>
      </c>
      <c r="Q75" s="9">
        <f>AVERAGE(K$7:K75)</f>
        <v>35.17391304347826</v>
      </c>
      <c r="S75" s="9">
        <f t="shared" si="59"/>
        <v>83.66666666666667</v>
      </c>
      <c r="T75" s="6">
        <f t="shared" si="60"/>
        <v>0.8775333448813442</v>
      </c>
      <c r="U75" s="6">
        <f t="shared" si="61"/>
        <v>0.7477914429239564</v>
      </c>
      <c r="V75" s="6">
        <f t="shared" si="62"/>
        <v>0.6028061666377965</v>
      </c>
      <c r="W75" s="6">
        <f t="shared" si="63"/>
        <v>0.420405335181015</v>
      </c>
      <c r="Y75" s="24">
        <f t="shared" si="54"/>
        <v>81.3</v>
      </c>
      <c r="Z75" s="24">
        <f t="shared" si="55"/>
        <v>69.9</v>
      </c>
      <c r="AA75" s="24">
        <f t="shared" si="56"/>
        <v>57.8</v>
      </c>
      <c r="AB75" s="24">
        <f t="shared" si="57"/>
        <v>45.4</v>
      </c>
      <c r="AC75" s="24">
        <f t="shared" si="58"/>
        <v>30.5</v>
      </c>
      <c r="AE75" s="6">
        <f>Y75*0.01</f>
        <v>0.813</v>
      </c>
      <c r="AF75" s="6">
        <f>(Z75/Y75)</f>
        <v>0.859778597785978</v>
      </c>
      <c r="AG75" s="6">
        <f>(AA75/Y75)</f>
        <v>0.7109471094710947</v>
      </c>
      <c r="AH75" s="6">
        <f>AB75/Y75</f>
        <v>0.5584255842558425</v>
      </c>
      <c r="AI75" s="6">
        <f>AC75/Y75</f>
        <v>0.3751537515375154</v>
      </c>
      <c r="AN75" s="9"/>
      <c r="AO75" s="24"/>
      <c r="AP75" s="24"/>
      <c r="AS75" s="24"/>
      <c r="AT75" s="24"/>
    </row>
    <row r="76" spans="1:46" ht="12">
      <c r="A76">
        <v>70</v>
      </c>
      <c r="B76">
        <v>39</v>
      </c>
      <c r="C76" s="9">
        <f t="shared" si="46"/>
        <v>53.6</v>
      </c>
      <c r="D76" s="24">
        <f>AVERAGE(B$7:B76)</f>
        <v>57.68571428571428</v>
      </c>
      <c r="E76" s="24">
        <f t="shared" si="53"/>
        <v>53.6</v>
      </c>
      <c r="G76">
        <v>78</v>
      </c>
      <c r="H76">
        <v>58</v>
      </c>
      <c r="I76">
        <v>42</v>
      </c>
      <c r="J76">
        <v>27</v>
      </c>
      <c r="K76">
        <v>14</v>
      </c>
      <c r="M76" s="9">
        <f>AVERAGE(G$7:G76)</f>
        <v>83.58571428571429</v>
      </c>
      <c r="N76" s="9">
        <f>AVERAGE(H$7:H76)</f>
        <v>73.2</v>
      </c>
      <c r="O76" s="9">
        <f>AVERAGE(I$7:I76)</f>
        <v>62.27142857142857</v>
      </c>
      <c r="P76" s="9">
        <f>AVERAGE(J$7:J76)</f>
        <v>50.1</v>
      </c>
      <c r="Q76" s="9">
        <f>AVERAGE(K$7:K76)</f>
        <v>34.871428571428574</v>
      </c>
      <c r="S76" s="9">
        <f t="shared" si="59"/>
        <v>83.58571428571429</v>
      </c>
      <c r="T76" s="6">
        <f t="shared" si="60"/>
        <v>0.8757477354298411</v>
      </c>
      <c r="U76" s="6">
        <f t="shared" si="61"/>
        <v>0.7450008545547769</v>
      </c>
      <c r="V76" s="6">
        <f t="shared" si="62"/>
        <v>0.5993847205605879</v>
      </c>
      <c r="W76" s="6">
        <f t="shared" si="63"/>
        <v>0.4171936421124594</v>
      </c>
      <c r="Y76" s="24">
        <f t="shared" si="54"/>
        <v>81.3</v>
      </c>
      <c r="Z76" s="24">
        <f t="shared" si="55"/>
        <v>69.9</v>
      </c>
      <c r="AA76" s="24">
        <f t="shared" si="56"/>
        <v>57.8</v>
      </c>
      <c r="AB76" s="24">
        <f t="shared" si="57"/>
        <v>45.4</v>
      </c>
      <c r="AC76" s="24">
        <f t="shared" si="58"/>
        <v>30.5</v>
      </c>
      <c r="AE76" s="6">
        <f>Y76*0.01</f>
        <v>0.813</v>
      </c>
      <c r="AF76" s="6">
        <f>(Z76/Y76)</f>
        <v>0.859778597785978</v>
      </c>
      <c r="AG76" s="6">
        <f>(AA76/Y76)</f>
        <v>0.7109471094710947</v>
      </c>
      <c r="AH76" s="6">
        <f>AB76/Y76</f>
        <v>0.5584255842558425</v>
      </c>
      <c r="AI76" s="6">
        <f>AC76/Y76</f>
        <v>0.3751537515375154</v>
      </c>
      <c r="AN76" s="9"/>
      <c r="AO76" s="24"/>
      <c r="AP76" s="24"/>
      <c r="AS76" s="24"/>
      <c r="AT76" s="24"/>
    </row>
    <row r="77" ht="12">
      <c r="M77" s="9"/>
    </row>
    <row r="78" spans="6:13" ht="12">
      <c r="F78" t="s">
        <v>83</v>
      </c>
      <c r="G78" s="24">
        <f>AVERAGE(G7:G76)</f>
        <v>83.58571428571429</v>
      </c>
      <c r="H78" s="24">
        <f>AVERAGE(H7:H76)</f>
        <v>73.2</v>
      </c>
      <c r="I78" s="24">
        <f>AVERAGE(I7:I76)</f>
        <v>62.27142857142857</v>
      </c>
      <c r="J78" s="24">
        <f>AVERAGE(J7:J76)</f>
        <v>50.1</v>
      </c>
      <c r="K78" s="24">
        <f>AVERAGE(K7:K76)</f>
        <v>34.871428571428574</v>
      </c>
      <c r="M78" s="9"/>
    </row>
    <row r="79" ht="12">
      <c r="M79" s="9"/>
    </row>
    <row r="80" ht="12">
      <c r="M80" s="9"/>
    </row>
    <row r="65536" ht="12">
      <c r="M65536" s="9"/>
    </row>
  </sheetData>
  <hyperlinks>
    <hyperlink ref="A4" r:id="rId1" display="bstrickl@egrps.org"/>
  </hyperlinks>
  <printOptions/>
  <pageMargins left="0.75" right="0.75" top="1" bottom="1" header="0.5" footer="0.5"/>
  <pageSetup horizontalDpi="600" verticalDpi="600" orientation="portrait" r:id="rId2"/>
</worksheet>
</file>

<file path=xl/worksheets/sheet7.xml><?xml version="1.0" encoding="utf-8"?>
<worksheet xmlns="http://schemas.openxmlformats.org/spreadsheetml/2006/main" xmlns:r="http://schemas.openxmlformats.org/officeDocument/2006/relationships">
  <dimension ref="A1:S35"/>
  <sheetViews>
    <sheetView workbookViewId="0" topLeftCell="A1">
      <selection activeCell="H10" sqref="H10"/>
    </sheetView>
  </sheetViews>
  <sheetFormatPr defaultColWidth="9.00390625" defaultRowHeight="12"/>
  <cols>
    <col min="1" max="6" width="11.375" style="0" customWidth="1"/>
    <col min="7" max="7" width="11.375" style="3" customWidth="1"/>
    <col min="8" max="16384" width="11.375" style="0" customWidth="1"/>
  </cols>
  <sheetData>
    <row r="1" ht="12">
      <c r="A1" t="s">
        <v>18</v>
      </c>
    </row>
    <row r="2" ht="12">
      <c r="A2" t="s">
        <v>19</v>
      </c>
    </row>
    <row r="3" ht="12">
      <c r="A3" t="s">
        <v>20</v>
      </c>
    </row>
    <row r="4" ht="12">
      <c r="A4" t="s">
        <v>21</v>
      </c>
    </row>
    <row r="6" spans="1:11" ht="12">
      <c r="A6" t="s">
        <v>81</v>
      </c>
      <c r="J6">
        <f>10.72*2.2222</f>
        <v>23.821984</v>
      </c>
      <c r="K6">
        <f>J6-J7</f>
        <v>7.644368</v>
      </c>
    </row>
    <row r="7" ht="12">
      <c r="J7">
        <f>7.28*2.2222</f>
        <v>16.177616</v>
      </c>
    </row>
    <row r="8" spans="1:11" ht="12">
      <c r="A8" t="s">
        <v>82</v>
      </c>
      <c r="B8">
        <v>2002</v>
      </c>
      <c r="C8">
        <v>2003</v>
      </c>
      <c r="D8">
        <v>2004</v>
      </c>
      <c r="E8">
        <v>2005</v>
      </c>
      <c r="F8">
        <v>2006</v>
      </c>
      <c r="G8" s="3">
        <v>2007</v>
      </c>
      <c r="H8" s="3">
        <v>2008</v>
      </c>
      <c r="I8" s="3" t="s">
        <v>83</v>
      </c>
      <c r="K8" s="4">
        <f>B12-G12</f>
        <v>3.4400000000000004</v>
      </c>
    </row>
    <row r="9" spans="1:13" ht="12">
      <c r="A9" t="s">
        <v>45</v>
      </c>
      <c r="B9" s="4">
        <v>4.26</v>
      </c>
      <c r="C9" s="4">
        <v>4.03</v>
      </c>
      <c r="D9" s="4">
        <v>4.32</v>
      </c>
      <c r="E9" s="4">
        <v>3.91</v>
      </c>
      <c r="F9" s="4">
        <v>3.27</v>
      </c>
      <c r="G9" s="21">
        <v>2.84</v>
      </c>
      <c r="H9" s="21">
        <v>2.03</v>
      </c>
      <c r="I9" s="22">
        <f>AVERAGE(B9:H9)</f>
        <v>3.5228571428571427</v>
      </c>
      <c r="K9">
        <f>K8*2.2222</f>
        <v>7.644368000000001</v>
      </c>
      <c r="L9">
        <f>70*0.075*0.8571</f>
        <v>4.499775</v>
      </c>
      <c r="M9">
        <f>L9-K9</f>
        <v>-3.1445930000000013</v>
      </c>
    </row>
    <row r="10" spans="1:13" ht="12">
      <c r="A10" t="s">
        <v>84</v>
      </c>
      <c r="B10" s="4">
        <v>3.32</v>
      </c>
      <c r="C10" s="4">
        <v>3.08</v>
      </c>
      <c r="D10" s="4">
        <v>2.46</v>
      </c>
      <c r="E10" s="4">
        <v>3.4</v>
      </c>
      <c r="F10" s="4">
        <v>3.02</v>
      </c>
      <c r="G10" s="21">
        <v>1.45</v>
      </c>
      <c r="H10" s="21">
        <v>2.6</v>
      </c>
      <c r="I10" s="22">
        <f>AVERAGE(B10:H10)</f>
        <v>2.7614285714285716</v>
      </c>
      <c r="K10" t="s">
        <v>304</v>
      </c>
      <c r="L10" t="s">
        <v>305</v>
      </c>
      <c r="M10" t="s">
        <v>306</v>
      </c>
    </row>
    <row r="11" spans="1:12" ht="12">
      <c r="A11" t="s">
        <v>85</v>
      </c>
      <c r="B11" s="4">
        <v>3.14</v>
      </c>
      <c r="C11" s="4">
        <v>4.05</v>
      </c>
      <c r="D11" s="4">
        <v>2.03</v>
      </c>
      <c r="E11" s="4">
        <v>2.56</v>
      </c>
      <c r="F11" s="4">
        <v>2.6</v>
      </c>
      <c r="G11" s="21">
        <v>2.99</v>
      </c>
      <c r="H11" s="21">
        <v>1.2</v>
      </c>
      <c r="I11" s="22">
        <f>AVERAGE(B11:H11)</f>
        <v>2.6528571428571426</v>
      </c>
      <c r="L11">
        <f>0.502*70*0.8571</f>
        <v>30.118494</v>
      </c>
    </row>
    <row r="12" spans="1:12" ht="12">
      <c r="A12" t="s">
        <v>86</v>
      </c>
      <c r="B12" s="4">
        <f aca="true" t="shared" si="0" ref="B12:H12">SUM(B9:B11)</f>
        <v>10.72</v>
      </c>
      <c r="C12" s="4">
        <f t="shared" si="0"/>
        <v>11.16</v>
      </c>
      <c r="D12" s="4">
        <f t="shared" si="0"/>
        <v>8.81</v>
      </c>
      <c r="E12" s="4">
        <f t="shared" si="0"/>
        <v>9.870000000000001</v>
      </c>
      <c r="F12" s="4">
        <f t="shared" si="0"/>
        <v>8.89</v>
      </c>
      <c r="G12" s="4">
        <f t="shared" si="0"/>
        <v>7.28</v>
      </c>
      <c r="H12" s="4">
        <f t="shared" si="0"/>
        <v>5.83</v>
      </c>
      <c r="I12" s="22">
        <f>SUM(I9:I11)</f>
        <v>8.937142857142856</v>
      </c>
      <c r="L12">
        <f>0.577*70*0.8571</f>
        <v>34.618269</v>
      </c>
    </row>
    <row r="14" spans="1:18" ht="12">
      <c r="A14" t="s">
        <v>87</v>
      </c>
      <c r="F14" t="s">
        <v>291</v>
      </c>
      <c r="G14"/>
      <c r="L14" t="s">
        <v>45</v>
      </c>
      <c r="O14" t="s">
        <v>84</v>
      </c>
      <c r="R14" t="s">
        <v>85</v>
      </c>
    </row>
    <row r="15" spans="1:19" ht="12">
      <c r="A15" t="s">
        <v>88</v>
      </c>
      <c r="B15" t="s">
        <v>296</v>
      </c>
      <c r="C15" t="s">
        <v>297</v>
      </c>
      <c r="D15" t="s">
        <v>298</v>
      </c>
      <c r="F15" t="s">
        <v>88</v>
      </c>
      <c r="G15" t="s">
        <v>299</v>
      </c>
      <c r="H15" t="s">
        <v>300</v>
      </c>
      <c r="I15" s="4" t="s">
        <v>301</v>
      </c>
      <c r="L15">
        <v>2002</v>
      </c>
      <c r="M15">
        <v>2007</v>
      </c>
      <c r="N15" t="s">
        <v>295</v>
      </c>
      <c r="O15">
        <v>2002</v>
      </c>
      <c r="P15">
        <v>2007</v>
      </c>
      <c r="Q15" t="s">
        <v>295</v>
      </c>
      <c r="R15">
        <v>2002</v>
      </c>
      <c r="S15">
        <v>2007</v>
      </c>
    </row>
    <row r="16" spans="2:9" ht="12">
      <c r="B16" t="s">
        <v>89</v>
      </c>
      <c r="C16" t="s">
        <v>90</v>
      </c>
      <c r="D16" t="s">
        <v>91</v>
      </c>
      <c r="G16" t="s">
        <v>292</v>
      </c>
      <c r="H16" t="s">
        <v>293</v>
      </c>
      <c r="I16" t="s">
        <v>294</v>
      </c>
    </row>
    <row r="17" spans="2:19" s="3" customFormat="1" ht="12">
      <c r="B17" s="3" t="s">
        <v>45</v>
      </c>
      <c r="C17" s="3" t="s">
        <v>84</v>
      </c>
      <c r="D17" s="3" t="s">
        <v>85</v>
      </c>
      <c r="G17" s="3" t="s">
        <v>45</v>
      </c>
      <c r="H17" s="3" t="s">
        <v>84</v>
      </c>
      <c r="I17" s="3" t="s">
        <v>85</v>
      </c>
      <c r="L17" s="3">
        <f>DBQ_2002</f>
        <v>4.26</v>
      </c>
      <c r="M17" s="3">
        <f>DBQ_2007</f>
        <v>2.84</v>
      </c>
      <c r="O17" s="3">
        <f>CCOT_2002</f>
        <v>3.32</v>
      </c>
      <c r="P17" s="3">
        <f>CCOT_2007</f>
        <v>1.45</v>
      </c>
      <c r="R17" s="3">
        <f>Comp_2002</f>
        <v>3.14</v>
      </c>
      <c r="S17" s="3">
        <f>Comp_2007</f>
        <v>2.99</v>
      </c>
    </row>
    <row r="18" spans="1:19" ht="12">
      <c r="A18">
        <v>9</v>
      </c>
      <c r="B18" s="23">
        <v>0.02</v>
      </c>
      <c r="C18" s="23">
        <v>0.032</v>
      </c>
      <c r="D18" s="23">
        <v>0.02</v>
      </c>
      <c r="F18">
        <v>9</v>
      </c>
      <c r="G18" s="23">
        <v>0.003</v>
      </c>
      <c r="H18" s="23">
        <v>0.0018</v>
      </c>
      <c r="I18" s="23">
        <v>0.0124</v>
      </c>
      <c r="K18" s="9">
        <f aca="true" t="shared" si="1" ref="K18:K29">A18</f>
        <v>9</v>
      </c>
      <c r="L18" s="23">
        <f aca="true" t="shared" si="2" ref="L18:L29">B18</f>
        <v>0.02</v>
      </c>
      <c r="M18" s="23">
        <f aca="true" t="shared" si="3" ref="M18:M29">G18</f>
        <v>0.003</v>
      </c>
      <c r="N18" s="23"/>
      <c r="O18" s="23">
        <f>C18</f>
        <v>0.032</v>
      </c>
      <c r="P18" s="23">
        <f>H18</f>
        <v>0.0018</v>
      </c>
      <c r="Q18" s="23"/>
      <c r="R18" s="23">
        <f>D18</f>
        <v>0.02</v>
      </c>
      <c r="S18" s="23">
        <f>I18</f>
        <v>0.0124</v>
      </c>
    </row>
    <row r="19" spans="1:19" ht="12">
      <c r="A19">
        <v>8</v>
      </c>
      <c r="B19" s="23">
        <v>0.038</v>
      </c>
      <c r="C19" s="23">
        <v>0.04</v>
      </c>
      <c r="D19" s="23">
        <v>0.031</v>
      </c>
      <c r="F19">
        <v>8</v>
      </c>
      <c r="G19" s="23">
        <v>0.0136</v>
      </c>
      <c r="H19" s="23">
        <v>0.0043</v>
      </c>
      <c r="I19" s="23">
        <v>0.0263</v>
      </c>
      <c r="K19" s="9">
        <f t="shared" si="1"/>
        <v>8</v>
      </c>
      <c r="L19" s="23">
        <f t="shared" si="2"/>
        <v>0.038</v>
      </c>
      <c r="M19" s="23">
        <f t="shared" si="3"/>
        <v>0.0136</v>
      </c>
      <c r="N19" s="23"/>
      <c r="O19" s="23">
        <f aca="true" t="shared" si="4" ref="O19:O29">C19</f>
        <v>0.04</v>
      </c>
      <c r="P19" s="23">
        <f aca="true" t="shared" si="5" ref="P19:P29">H19</f>
        <v>0.0043</v>
      </c>
      <c r="Q19" s="23"/>
      <c r="R19" s="23">
        <f aca="true" t="shared" si="6" ref="R19:R29">D19</f>
        <v>0.031</v>
      </c>
      <c r="S19" s="23">
        <f aca="true" t="shared" si="7" ref="S19:S29">I19</f>
        <v>0.0263</v>
      </c>
    </row>
    <row r="20" spans="1:19" ht="12">
      <c r="A20">
        <v>7</v>
      </c>
      <c r="B20" s="23">
        <v>0.057</v>
      </c>
      <c r="C20" s="23">
        <v>0.051</v>
      </c>
      <c r="D20" s="23">
        <v>0.045</v>
      </c>
      <c r="F20">
        <v>7</v>
      </c>
      <c r="G20" s="23">
        <v>0.0274</v>
      </c>
      <c r="H20" s="23">
        <v>0.0068</v>
      </c>
      <c r="I20" s="23">
        <v>0.0507</v>
      </c>
      <c r="K20" s="9">
        <f t="shared" si="1"/>
        <v>7</v>
      </c>
      <c r="L20" s="23">
        <f t="shared" si="2"/>
        <v>0.057</v>
      </c>
      <c r="M20" s="23">
        <f t="shared" si="3"/>
        <v>0.0274</v>
      </c>
      <c r="N20" s="23"/>
      <c r="O20" s="23">
        <f t="shared" si="4"/>
        <v>0.051</v>
      </c>
      <c r="P20" s="23">
        <f t="shared" si="5"/>
        <v>0.0068</v>
      </c>
      <c r="Q20" s="23"/>
      <c r="R20" s="23">
        <f t="shared" si="6"/>
        <v>0.045</v>
      </c>
      <c r="S20" s="23">
        <f t="shared" si="7"/>
        <v>0.0507</v>
      </c>
    </row>
    <row r="21" spans="1:19" ht="12">
      <c r="A21">
        <v>6</v>
      </c>
      <c r="B21" s="23">
        <v>0.17</v>
      </c>
      <c r="C21" s="23">
        <v>0.066</v>
      </c>
      <c r="D21" s="23">
        <v>0.065</v>
      </c>
      <c r="E21" s="24"/>
      <c r="F21">
        <v>6</v>
      </c>
      <c r="G21" s="23">
        <v>0.0749</v>
      </c>
      <c r="H21" s="23">
        <v>0.0186</v>
      </c>
      <c r="I21" s="23">
        <v>0.1096</v>
      </c>
      <c r="K21" s="9">
        <f t="shared" si="1"/>
        <v>6</v>
      </c>
      <c r="L21" s="23">
        <f t="shared" si="2"/>
        <v>0.17</v>
      </c>
      <c r="M21" s="23">
        <f t="shared" si="3"/>
        <v>0.0749</v>
      </c>
      <c r="N21" s="23"/>
      <c r="O21" s="23">
        <f t="shared" si="4"/>
        <v>0.066</v>
      </c>
      <c r="P21" s="23">
        <f t="shared" si="5"/>
        <v>0.0186</v>
      </c>
      <c r="Q21" s="23"/>
      <c r="R21" s="23">
        <f t="shared" si="6"/>
        <v>0.065</v>
      </c>
      <c r="S21" s="23">
        <f t="shared" si="7"/>
        <v>0.1096</v>
      </c>
    </row>
    <row r="22" spans="1:19" ht="12">
      <c r="A22">
        <v>5</v>
      </c>
      <c r="B22" s="23">
        <v>0.193</v>
      </c>
      <c r="C22" s="23">
        <v>0.113</v>
      </c>
      <c r="D22" s="23">
        <v>0.101</v>
      </c>
      <c r="F22">
        <v>5</v>
      </c>
      <c r="G22" s="23">
        <v>0.1053</v>
      </c>
      <c r="H22" s="23">
        <v>0.0272</v>
      </c>
      <c r="I22" s="23">
        <v>0.1162</v>
      </c>
      <c r="K22" s="9">
        <f t="shared" si="1"/>
        <v>5</v>
      </c>
      <c r="L22" s="23">
        <f t="shared" si="2"/>
        <v>0.193</v>
      </c>
      <c r="M22" s="23">
        <f t="shared" si="3"/>
        <v>0.1053</v>
      </c>
      <c r="N22" s="23"/>
      <c r="O22" s="23">
        <f t="shared" si="4"/>
        <v>0.113</v>
      </c>
      <c r="P22" s="23">
        <f t="shared" si="5"/>
        <v>0.0272</v>
      </c>
      <c r="Q22" s="23"/>
      <c r="R22" s="23">
        <f t="shared" si="6"/>
        <v>0.101</v>
      </c>
      <c r="S22" s="23">
        <f t="shared" si="7"/>
        <v>0.1162</v>
      </c>
    </row>
    <row r="23" spans="1:19" ht="12">
      <c r="A23">
        <v>4</v>
      </c>
      <c r="B23" s="23">
        <v>0.173</v>
      </c>
      <c r="C23" s="23">
        <v>0.126</v>
      </c>
      <c r="D23" s="23">
        <v>0.123</v>
      </c>
      <c r="F23">
        <v>4</v>
      </c>
      <c r="G23" s="23">
        <v>0.1253</v>
      </c>
      <c r="H23" s="23">
        <v>0.0718</v>
      </c>
      <c r="I23" s="23">
        <v>0.1143</v>
      </c>
      <c r="K23" s="9">
        <f t="shared" si="1"/>
        <v>4</v>
      </c>
      <c r="L23" s="23">
        <f t="shared" si="2"/>
        <v>0.173</v>
      </c>
      <c r="M23" s="23">
        <f t="shared" si="3"/>
        <v>0.1253</v>
      </c>
      <c r="N23" s="23"/>
      <c r="O23" s="23">
        <f t="shared" si="4"/>
        <v>0.126</v>
      </c>
      <c r="P23" s="23">
        <f t="shared" si="5"/>
        <v>0.0718</v>
      </c>
      <c r="Q23" s="23"/>
      <c r="R23" s="23">
        <f t="shared" si="6"/>
        <v>0.123</v>
      </c>
      <c r="S23" s="23">
        <f t="shared" si="7"/>
        <v>0.1143</v>
      </c>
    </row>
    <row r="24" spans="1:19" ht="12">
      <c r="A24">
        <v>3</v>
      </c>
      <c r="B24" s="23">
        <v>0.15</v>
      </c>
      <c r="C24" s="23">
        <v>0.141</v>
      </c>
      <c r="D24" s="23">
        <v>0.187</v>
      </c>
      <c r="F24">
        <v>3</v>
      </c>
      <c r="G24" s="23">
        <v>0.1608</v>
      </c>
      <c r="H24" s="23">
        <v>0.1072</v>
      </c>
      <c r="I24" s="23">
        <v>0.1037</v>
      </c>
      <c r="K24" s="9">
        <f t="shared" si="1"/>
        <v>3</v>
      </c>
      <c r="L24" s="23">
        <f t="shared" si="2"/>
        <v>0.15</v>
      </c>
      <c r="M24" s="23">
        <f t="shared" si="3"/>
        <v>0.1608</v>
      </c>
      <c r="N24" s="23"/>
      <c r="O24" s="23">
        <f t="shared" si="4"/>
        <v>0.141</v>
      </c>
      <c r="P24" s="23">
        <f t="shared" si="5"/>
        <v>0.1072</v>
      </c>
      <c r="Q24" s="23"/>
      <c r="R24" s="23">
        <f t="shared" si="6"/>
        <v>0.187</v>
      </c>
      <c r="S24" s="23">
        <f t="shared" si="7"/>
        <v>0.1037</v>
      </c>
    </row>
    <row r="25" spans="1:19" ht="12">
      <c r="A25">
        <v>2</v>
      </c>
      <c r="B25" s="23">
        <v>0.098</v>
      </c>
      <c r="C25" s="23">
        <v>0.157</v>
      </c>
      <c r="D25" s="23">
        <v>0.151</v>
      </c>
      <c r="F25">
        <v>2</v>
      </c>
      <c r="G25" s="23">
        <v>0.191</v>
      </c>
      <c r="H25" s="23">
        <v>0.1554</v>
      </c>
      <c r="I25" s="23">
        <v>0.1007</v>
      </c>
      <c r="K25" s="9">
        <f t="shared" si="1"/>
        <v>2</v>
      </c>
      <c r="L25" s="23">
        <f t="shared" si="2"/>
        <v>0.098</v>
      </c>
      <c r="M25" s="23">
        <f t="shared" si="3"/>
        <v>0.191</v>
      </c>
      <c r="N25" s="23"/>
      <c r="O25" s="23">
        <f t="shared" si="4"/>
        <v>0.157</v>
      </c>
      <c r="P25" s="23">
        <f t="shared" si="5"/>
        <v>0.1554</v>
      </c>
      <c r="Q25" s="23"/>
      <c r="R25" s="23">
        <f t="shared" si="6"/>
        <v>0.151</v>
      </c>
      <c r="S25" s="23">
        <f t="shared" si="7"/>
        <v>0.1007</v>
      </c>
    </row>
    <row r="26" spans="1:19" ht="12">
      <c r="A26">
        <v>1</v>
      </c>
      <c r="B26" s="23">
        <v>0.062</v>
      </c>
      <c r="C26" s="23">
        <v>0.154</v>
      </c>
      <c r="D26" s="23">
        <v>0.138</v>
      </c>
      <c r="F26">
        <v>1</v>
      </c>
      <c r="G26" s="23">
        <v>0.1756</v>
      </c>
      <c r="H26" s="23">
        <v>0.1829</v>
      </c>
      <c r="I26" s="23">
        <v>0.1083</v>
      </c>
      <c r="K26" s="9">
        <f t="shared" si="1"/>
        <v>1</v>
      </c>
      <c r="L26" s="23">
        <f t="shared" si="2"/>
        <v>0.062</v>
      </c>
      <c r="M26" s="23">
        <f t="shared" si="3"/>
        <v>0.1756</v>
      </c>
      <c r="N26" s="23"/>
      <c r="O26" s="23">
        <f t="shared" si="4"/>
        <v>0.154</v>
      </c>
      <c r="P26" s="23">
        <f t="shared" si="5"/>
        <v>0.1829</v>
      </c>
      <c r="Q26" s="23"/>
      <c r="R26" s="23">
        <f t="shared" si="6"/>
        <v>0.138</v>
      </c>
      <c r="S26" s="23">
        <f t="shared" si="7"/>
        <v>0.1083</v>
      </c>
    </row>
    <row r="27" spans="1:19" ht="12">
      <c r="A27">
        <v>0</v>
      </c>
      <c r="B27" s="23">
        <v>0.032</v>
      </c>
      <c r="C27" s="23">
        <v>0.084</v>
      </c>
      <c r="D27" s="23">
        <v>0.081</v>
      </c>
      <c r="F27">
        <v>0</v>
      </c>
      <c r="G27" s="23">
        <v>0.1158</v>
      </c>
      <c r="H27" s="23">
        <v>0.3671</v>
      </c>
      <c r="I27" s="23">
        <v>0.156</v>
      </c>
      <c r="K27" s="9">
        <f t="shared" si="1"/>
        <v>0</v>
      </c>
      <c r="L27" s="23">
        <f t="shared" si="2"/>
        <v>0.032</v>
      </c>
      <c r="M27" s="23">
        <f t="shared" si="3"/>
        <v>0.1158</v>
      </c>
      <c r="N27" s="23"/>
      <c r="O27" s="23">
        <f t="shared" si="4"/>
        <v>0.084</v>
      </c>
      <c r="P27" s="23">
        <f t="shared" si="5"/>
        <v>0.3671</v>
      </c>
      <c r="Q27" s="23"/>
      <c r="R27" s="23">
        <f t="shared" si="6"/>
        <v>0.081</v>
      </c>
      <c r="S27" s="23">
        <f t="shared" si="7"/>
        <v>0.156</v>
      </c>
    </row>
    <row r="28" spans="1:19" ht="12">
      <c r="A28" t="s">
        <v>92</v>
      </c>
      <c r="B28" s="23">
        <v>0.007</v>
      </c>
      <c r="C28" s="23">
        <v>0.035</v>
      </c>
      <c r="D28" s="23">
        <v>0.057</v>
      </c>
      <c r="F28" t="s">
        <v>92</v>
      </c>
      <c r="G28" s="23">
        <v>0.0072</v>
      </c>
      <c r="H28" s="23">
        <v>0.0568</v>
      </c>
      <c r="I28" s="23">
        <v>0.1016</v>
      </c>
      <c r="K28" s="9" t="str">
        <f t="shared" si="1"/>
        <v>No Response</v>
      </c>
      <c r="L28" s="23">
        <f t="shared" si="2"/>
        <v>0.007</v>
      </c>
      <c r="M28" s="23">
        <f t="shared" si="3"/>
        <v>0.0072</v>
      </c>
      <c r="N28" s="23"/>
      <c r="O28" s="23">
        <f t="shared" si="4"/>
        <v>0.035</v>
      </c>
      <c r="P28" s="23">
        <f t="shared" si="5"/>
        <v>0.0568</v>
      </c>
      <c r="Q28" s="23"/>
      <c r="R28" s="23">
        <f t="shared" si="6"/>
        <v>0.057</v>
      </c>
      <c r="S28" s="23">
        <f t="shared" si="7"/>
        <v>0.1016</v>
      </c>
    </row>
    <row r="29" spans="1:19" ht="12">
      <c r="A29" t="s">
        <v>5</v>
      </c>
      <c r="B29" s="23">
        <f>SUM(B18:B28)</f>
        <v>1</v>
      </c>
      <c r="C29" s="23">
        <f>SUM(C18:C28)</f>
        <v>0.999</v>
      </c>
      <c r="D29" s="23">
        <f>SUM(D18:D28)</f>
        <v>0.9990000000000001</v>
      </c>
      <c r="F29" t="s">
        <v>5</v>
      </c>
      <c r="G29" s="23">
        <f>SUM(G18:G28)</f>
        <v>0.9999</v>
      </c>
      <c r="H29" s="23">
        <f>SUM(H18:H28)</f>
        <v>0.9999</v>
      </c>
      <c r="I29" s="23">
        <f>SUM(I18:I28)</f>
        <v>0.9998</v>
      </c>
      <c r="K29" s="9" t="str">
        <f t="shared" si="1"/>
        <v>Total</v>
      </c>
      <c r="L29" s="23">
        <f t="shared" si="2"/>
        <v>1</v>
      </c>
      <c r="M29" s="23">
        <f t="shared" si="3"/>
        <v>0.9999</v>
      </c>
      <c r="N29" s="23"/>
      <c r="O29" s="23">
        <f t="shared" si="4"/>
        <v>0.999</v>
      </c>
      <c r="P29" s="23">
        <f t="shared" si="5"/>
        <v>0.9999</v>
      </c>
      <c r="Q29" s="23"/>
      <c r="R29" s="23">
        <f t="shared" si="6"/>
        <v>0.9990000000000001</v>
      </c>
      <c r="S29" s="23">
        <f t="shared" si="7"/>
        <v>0.9998</v>
      </c>
    </row>
    <row r="31" ht="12">
      <c r="A31" t="s">
        <v>93</v>
      </c>
    </row>
    <row r="32" spans="1:9" ht="12">
      <c r="A32" t="s">
        <v>82</v>
      </c>
      <c r="B32" s="9">
        <v>2002</v>
      </c>
      <c r="C32" s="9">
        <v>2003</v>
      </c>
      <c r="D32" s="9">
        <v>2004</v>
      </c>
      <c r="E32" s="9">
        <v>2005</v>
      </c>
      <c r="F32" s="9">
        <v>2006</v>
      </c>
      <c r="G32" s="25" t="s">
        <v>83</v>
      </c>
      <c r="H32" s="9"/>
      <c r="I32" s="9"/>
    </row>
    <row r="33" spans="1:7" ht="12">
      <c r="A33" t="s">
        <v>45</v>
      </c>
      <c r="B33" s="4">
        <v>2.04</v>
      </c>
      <c r="C33" s="4">
        <v>2.12</v>
      </c>
      <c r="D33" s="4">
        <v>1.96</v>
      </c>
      <c r="E33" s="4">
        <v>2.13</v>
      </c>
      <c r="F33" s="4"/>
      <c r="G33" s="22">
        <f>AVERAGE(B33:E33)</f>
        <v>2.0625</v>
      </c>
    </row>
    <row r="34" spans="1:7" ht="12">
      <c r="A34" t="s">
        <v>60</v>
      </c>
      <c r="B34" s="4">
        <v>2.43</v>
      </c>
      <c r="C34" s="4">
        <v>2.35</v>
      </c>
      <c r="D34" s="4">
        <v>2.21</v>
      </c>
      <c r="E34" s="4">
        <v>2.23</v>
      </c>
      <c r="F34" s="4"/>
      <c r="G34" s="22">
        <f>AVERAGE(B34:E34)</f>
        <v>2.305</v>
      </c>
    </row>
    <row r="35" spans="1:7" ht="12">
      <c r="A35" t="s">
        <v>46</v>
      </c>
      <c r="B35" s="4">
        <v>2.3</v>
      </c>
      <c r="C35" s="4">
        <v>2.2</v>
      </c>
      <c r="D35" s="4">
        <v>2.21</v>
      </c>
      <c r="E35" s="4">
        <v>1.92</v>
      </c>
      <c r="F35" s="4"/>
      <c r="G35" s="22">
        <f>AVERAGE(B35:E35)</f>
        <v>2.1574999999999998</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B28"/>
  <sheetViews>
    <sheetView workbookViewId="0" topLeftCell="L1">
      <selection activeCell="AB13" sqref="AB13"/>
    </sheetView>
  </sheetViews>
  <sheetFormatPr defaultColWidth="9.00390625" defaultRowHeight="12"/>
  <cols>
    <col min="1" max="1" width="9.125" style="16" customWidth="1"/>
    <col min="2" max="2" width="9.125" style="17" customWidth="1"/>
    <col min="3" max="4" width="9.125" style="18" customWidth="1"/>
    <col min="5" max="5" width="2.625" style="18" customWidth="1"/>
    <col min="6" max="8" width="9.125" style="16" customWidth="1"/>
    <col min="9" max="9" width="2.875" style="16" customWidth="1"/>
    <col min="10" max="12" width="9.125" style="16" customWidth="1"/>
    <col min="13" max="13" width="3.00390625" style="16" customWidth="1"/>
    <col min="14" max="16" width="9.125" style="16" customWidth="1"/>
    <col min="17" max="17" width="3.875" style="16" customWidth="1"/>
    <col min="18" max="20" width="9.125" style="16" customWidth="1"/>
    <col min="21" max="21" width="3.125" style="16" customWidth="1"/>
    <col min="22" max="24" width="9.125" style="16" customWidth="1"/>
    <col min="25" max="25" width="2.75390625" style="16" customWidth="1"/>
    <col min="26" max="16384" width="9.125" style="16" customWidth="1"/>
  </cols>
  <sheetData>
    <row r="1" ht="12.75">
      <c r="A1" s="16" t="s">
        <v>18</v>
      </c>
    </row>
    <row r="2" ht="12.75">
      <c r="A2" s="16" t="s">
        <v>77</v>
      </c>
    </row>
    <row r="3" ht="12.75">
      <c r="A3" s="16" t="s">
        <v>20</v>
      </c>
    </row>
    <row r="4" ht="12.75">
      <c r="A4" s="16" t="s">
        <v>21</v>
      </c>
    </row>
    <row r="6" spans="2:26" ht="12.75">
      <c r="B6" s="16">
        <v>2002</v>
      </c>
      <c r="F6" s="16">
        <v>2003</v>
      </c>
      <c r="J6" s="16">
        <v>2004</v>
      </c>
      <c r="N6" s="16">
        <v>2005</v>
      </c>
      <c r="R6" s="16">
        <v>2006</v>
      </c>
      <c r="V6" s="16">
        <v>2007</v>
      </c>
      <c r="Z6" s="16">
        <v>2008</v>
      </c>
    </row>
    <row r="7" spans="2:28" ht="12.75">
      <c r="B7" s="18" t="s">
        <v>78</v>
      </c>
      <c r="C7" s="18" t="s">
        <v>79</v>
      </c>
      <c r="D7" s="18" t="s">
        <v>80</v>
      </c>
      <c r="F7" s="18" t="s">
        <v>78</v>
      </c>
      <c r="G7" s="18" t="s">
        <v>79</v>
      </c>
      <c r="H7" s="18" t="s">
        <v>80</v>
      </c>
      <c r="J7" s="18" t="s">
        <v>78</v>
      </c>
      <c r="K7" s="18" t="s">
        <v>79</v>
      </c>
      <c r="L7" s="18" t="s">
        <v>80</v>
      </c>
      <c r="N7" s="18" t="s">
        <v>78</v>
      </c>
      <c r="O7" s="18" t="s">
        <v>79</v>
      </c>
      <c r="P7" s="18" t="s">
        <v>80</v>
      </c>
      <c r="R7" s="18" t="s">
        <v>78</v>
      </c>
      <c r="S7" s="18" t="s">
        <v>79</v>
      </c>
      <c r="T7" s="18" t="s">
        <v>80</v>
      </c>
      <c r="V7" s="18" t="s">
        <v>78</v>
      </c>
      <c r="W7" s="18" t="s">
        <v>79</v>
      </c>
      <c r="X7" s="18" t="s">
        <v>80</v>
      </c>
      <c r="Z7" s="18" t="s">
        <v>78</v>
      </c>
      <c r="AA7" s="18" t="s">
        <v>79</v>
      </c>
      <c r="AB7" s="18" t="s">
        <v>80</v>
      </c>
    </row>
    <row r="8" spans="1:28" ht="12.75">
      <c r="A8" s="16">
        <v>5</v>
      </c>
      <c r="B8" s="18">
        <v>10.6</v>
      </c>
      <c r="C8" s="18">
        <v>11.02227373911669</v>
      </c>
      <c r="D8" s="20">
        <v>12.339566757651431</v>
      </c>
      <c r="F8" s="18">
        <v>11.4</v>
      </c>
      <c r="G8" s="18">
        <v>9.163614188768804</v>
      </c>
      <c r="H8" s="18">
        <v>11.767176555069303</v>
      </c>
      <c r="J8" s="18">
        <v>10.9</v>
      </c>
      <c r="K8" s="20">
        <v>10.765825047735692</v>
      </c>
      <c r="L8" s="20">
        <v>11.297351235963573</v>
      </c>
      <c r="N8" s="18">
        <v>10.2</v>
      </c>
      <c r="O8" s="18">
        <v>9.2</v>
      </c>
      <c r="P8" s="18">
        <v>11.8</v>
      </c>
      <c r="R8" s="18">
        <v>10.4</v>
      </c>
      <c r="S8" s="18">
        <v>11</v>
      </c>
      <c r="T8" s="18">
        <v>12</v>
      </c>
      <c r="V8" s="16">
        <v>11.2</v>
      </c>
      <c r="W8" s="18">
        <v>11.1</v>
      </c>
      <c r="X8" s="18">
        <v>11.1</v>
      </c>
      <c r="Z8" s="16">
        <v>8.9</v>
      </c>
      <c r="AA8" s="18">
        <v>8.5</v>
      </c>
      <c r="AB8" s="18">
        <v>9.2</v>
      </c>
    </row>
    <row r="9" spans="1:28" ht="12.75">
      <c r="A9" s="16">
        <v>4</v>
      </c>
      <c r="B9" s="18">
        <v>17.6</v>
      </c>
      <c r="C9" s="18">
        <v>19.934842836883167</v>
      </c>
      <c r="D9" s="20">
        <v>20.420756141471628</v>
      </c>
      <c r="F9" s="18">
        <v>18.9</v>
      </c>
      <c r="G9" s="18">
        <v>18.957226853015463</v>
      </c>
      <c r="H9" s="18">
        <v>20.553606026528648</v>
      </c>
      <c r="J9" s="18">
        <v>16.1</v>
      </c>
      <c r="K9" s="20">
        <v>20.906331540550617</v>
      </c>
      <c r="L9" s="20">
        <v>20.126564690724905</v>
      </c>
      <c r="N9" s="18">
        <v>17.1</v>
      </c>
      <c r="O9" s="18">
        <v>19.8</v>
      </c>
      <c r="P9" s="18">
        <v>19.8</v>
      </c>
      <c r="R9" s="18">
        <v>15.2</v>
      </c>
      <c r="S9" s="18">
        <v>19.9</v>
      </c>
      <c r="T9" s="18">
        <v>20.3</v>
      </c>
      <c r="V9" s="16">
        <v>16.9</v>
      </c>
      <c r="W9" s="18">
        <v>19.9</v>
      </c>
      <c r="X9" s="18">
        <v>18.9</v>
      </c>
      <c r="Z9" s="16">
        <v>16.1</v>
      </c>
      <c r="AA9" s="18">
        <v>18.2</v>
      </c>
      <c r="AB9" s="18">
        <v>17.2</v>
      </c>
    </row>
    <row r="10" spans="1:28" ht="12.75">
      <c r="A10" s="16">
        <v>3</v>
      </c>
      <c r="B10" s="18">
        <v>28.9</v>
      </c>
      <c r="C10" s="18">
        <v>22.762417840066387</v>
      </c>
      <c r="D10" s="20">
        <v>38.07276845345258</v>
      </c>
      <c r="F10" s="18">
        <v>25.9</v>
      </c>
      <c r="G10" s="18">
        <v>23.47352069847836</v>
      </c>
      <c r="H10" s="18">
        <v>36.9463601013454</v>
      </c>
      <c r="J10" s="18">
        <v>27.8</v>
      </c>
      <c r="K10" s="20">
        <v>25.005134915140776</v>
      </c>
      <c r="L10" s="20">
        <v>38.23087319531635</v>
      </c>
      <c r="N10" s="18">
        <v>25.2</v>
      </c>
      <c r="O10" s="18">
        <v>21.4</v>
      </c>
      <c r="P10" s="18">
        <v>36.8</v>
      </c>
      <c r="R10" s="18">
        <v>25.4</v>
      </c>
      <c r="S10" s="18">
        <v>22.2</v>
      </c>
      <c r="T10" s="18">
        <v>36.9</v>
      </c>
      <c r="V10" s="16">
        <v>26.1</v>
      </c>
      <c r="W10" s="18">
        <v>22.2</v>
      </c>
      <c r="X10" s="18">
        <v>35.9</v>
      </c>
      <c r="Z10" s="16">
        <v>23.4</v>
      </c>
      <c r="AA10" s="18">
        <v>21.4</v>
      </c>
      <c r="AB10" s="18">
        <v>34.9</v>
      </c>
    </row>
    <row r="11" spans="1:28" ht="12.75">
      <c r="A11" s="16">
        <v>2</v>
      </c>
      <c r="B11" s="18">
        <v>24.5</v>
      </c>
      <c r="C11" s="18">
        <v>31.77728895269959</v>
      </c>
      <c r="D11" s="20">
        <v>16.972530344387017</v>
      </c>
      <c r="F11" s="18">
        <v>23.7</v>
      </c>
      <c r="G11" s="18">
        <v>32.7265460508696</v>
      </c>
      <c r="H11" s="18">
        <v>16.65560177218963</v>
      </c>
      <c r="J11" s="18">
        <v>23.2</v>
      </c>
      <c r="K11" s="20">
        <v>24.796315032749348</v>
      </c>
      <c r="L11" s="20">
        <v>17.092548851191754</v>
      </c>
      <c r="N11" s="18">
        <v>23.4</v>
      </c>
      <c r="O11" s="18">
        <v>27.3</v>
      </c>
      <c r="P11" s="18">
        <v>17.2</v>
      </c>
      <c r="R11" s="18">
        <v>24.4</v>
      </c>
      <c r="S11" s="18">
        <v>26.1</v>
      </c>
      <c r="T11" s="18">
        <v>17.4</v>
      </c>
      <c r="V11" s="16">
        <v>24.3</v>
      </c>
      <c r="W11" s="18">
        <v>26.2</v>
      </c>
      <c r="X11" s="18">
        <v>11.2</v>
      </c>
      <c r="Z11" s="16">
        <v>25.7</v>
      </c>
      <c r="AA11" s="18">
        <v>25.4</v>
      </c>
      <c r="AB11" s="18">
        <v>12.1</v>
      </c>
    </row>
    <row r="12" spans="1:28" ht="12.75">
      <c r="A12" s="16">
        <v>1</v>
      </c>
      <c r="B12" s="18">
        <v>18.4</v>
      </c>
      <c r="C12" s="18">
        <v>14.503176631234165</v>
      </c>
      <c r="D12" s="20">
        <v>12.194378303037343</v>
      </c>
      <c r="F12" s="18">
        <v>20.2</v>
      </c>
      <c r="G12" s="18">
        <v>15.679092208867774</v>
      </c>
      <c r="H12" s="18">
        <v>14.077255544867018</v>
      </c>
      <c r="J12" s="18">
        <v>22</v>
      </c>
      <c r="K12" s="20">
        <v>18.52639346382357</v>
      </c>
      <c r="L12" s="20">
        <v>13.252662026803423</v>
      </c>
      <c r="N12" s="18">
        <v>24</v>
      </c>
      <c r="O12" s="18">
        <v>22.3</v>
      </c>
      <c r="P12" s="18">
        <v>14.4</v>
      </c>
      <c r="R12" s="18">
        <v>24.6</v>
      </c>
      <c r="S12" s="18">
        <v>20.8</v>
      </c>
      <c r="T12" s="18">
        <v>13.6</v>
      </c>
      <c r="V12" s="16">
        <v>21.5</v>
      </c>
      <c r="W12" s="18">
        <v>20.6</v>
      </c>
      <c r="X12" s="18">
        <v>22.9</v>
      </c>
      <c r="Z12" s="16">
        <v>25.8</v>
      </c>
      <c r="AA12" s="18">
        <v>26.5</v>
      </c>
      <c r="AB12" s="18">
        <v>26.6</v>
      </c>
    </row>
    <row r="14" spans="2:18" ht="12.75">
      <c r="B14" s="19"/>
      <c r="C14" s="16"/>
      <c r="D14" s="16"/>
      <c r="E14" s="16"/>
      <c r="N14" s="39"/>
      <c r="R14" s="39"/>
    </row>
    <row r="15" spans="2:18" ht="12.75">
      <c r="B15" s="19"/>
      <c r="C15" s="16"/>
      <c r="D15" s="16"/>
      <c r="E15" s="16"/>
      <c r="J15" s="39"/>
      <c r="N15" s="39"/>
      <c r="R15" s="39"/>
    </row>
    <row r="16" spans="2:18" ht="12.75">
      <c r="B16" s="19"/>
      <c r="C16" s="16"/>
      <c r="D16" s="16"/>
      <c r="E16" s="16"/>
      <c r="J16" s="39"/>
      <c r="N16" s="39"/>
      <c r="R16" s="39"/>
    </row>
    <row r="17" spans="2:18" ht="12.75">
      <c r="B17" s="19"/>
      <c r="C17" s="16"/>
      <c r="D17" s="16"/>
      <c r="E17" s="16"/>
      <c r="J17" s="39"/>
      <c r="N17" s="39"/>
      <c r="R17" s="39"/>
    </row>
    <row r="18" spans="2:18" ht="12.75">
      <c r="B18" s="19"/>
      <c r="C18" s="16"/>
      <c r="D18" s="16"/>
      <c r="E18" s="16"/>
      <c r="J18" s="39"/>
      <c r="N18" s="39"/>
      <c r="R18" s="39"/>
    </row>
    <row r="19" spans="2:10" ht="12.75">
      <c r="B19" s="19"/>
      <c r="C19" s="16"/>
      <c r="D19" s="16"/>
      <c r="E19" s="16"/>
      <c r="J19" s="39"/>
    </row>
    <row r="21" spans="2:5" ht="12.75">
      <c r="B21" s="19"/>
      <c r="C21" s="16"/>
      <c r="D21" s="16"/>
      <c r="E21" s="16"/>
    </row>
    <row r="22" spans="2:5" ht="12.75">
      <c r="B22" s="19"/>
      <c r="C22" s="16"/>
      <c r="D22" s="16"/>
      <c r="E22" s="16"/>
    </row>
    <row r="23" spans="2:5" ht="12.75">
      <c r="B23" s="19"/>
      <c r="C23" s="16"/>
      <c r="D23" s="16"/>
      <c r="E23" s="16"/>
    </row>
    <row r="24" spans="2:5" ht="12.75">
      <c r="B24" s="19"/>
      <c r="C24" s="16"/>
      <c r="D24" s="16"/>
      <c r="E24" s="16"/>
    </row>
    <row r="25" spans="2:5" ht="12.75">
      <c r="B25" s="19"/>
      <c r="C25" s="16"/>
      <c r="D25" s="16"/>
      <c r="E25" s="16"/>
    </row>
    <row r="26" spans="2:5" ht="12.75">
      <c r="B26" s="19"/>
      <c r="C26" s="16"/>
      <c r="D26" s="16"/>
      <c r="E26" s="16"/>
    </row>
    <row r="28" spans="2:5" ht="12.75">
      <c r="B28" s="19"/>
      <c r="C28" s="16"/>
      <c r="D28" s="16"/>
      <c r="E28" s="16"/>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A57"/>
  <sheetViews>
    <sheetView workbookViewId="0" topLeftCell="I1">
      <selection activeCell="W15" sqref="W15"/>
    </sheetView>
  </sheetViews>
  <sheetFormatPr defaultColWidth="9.00390625" defaultRowHeight="12"/>
  <cols>
    <col min="1" max="16384" width="11.375" style="0" customWidth="1"/>
  </cols>
  <sheetData>
    <row r="1" ht="12">
      <c r="A1" t="s">
        <v>18</v>
      </c>
    </row>
    <row r="2" ht="12">
      <c r="A2" t="s">
        <v>19</v>
      </c>
    </row>
    <row r="3" ht="12">
      <c r="A3" t="s">
        <v>20</v>
      </c>
    </row>
    <row r="4" ht="12">
      <c r="A4" t="s">
        <v>21</v>
      </c>
    </row>
    <row r="7" spans="1:18" ht="12">
      <c r="A7" t="s">
        <v>113</v>
      </c>
      <c r="J7" t="s">
        <v>114</v>
      </c>
      <c r="R7" t="s">
        <v>115</v>
      </c>
    </row>
    <row r="8" spans="1:23" ht="12">
      <c r="A8" t="s">
        <v>116</v>
      </c>
      <c r="B8" t="s">
        <v>117</v>
      </c>
      <c r="C8" t="s">
        <v>118</v>
      </c>
      <c r="D8" t="s">
        <v>119</v>
      </c>
      <c r="E8" t="s">
        <v>120</v>
      </c>
      <c r="F8" t="s">
        <v>121</v>
      </c>
      <c r="H8" t="s">
        <v>122</v>
      </c>
      <c r="I8">
        <v>2002</v>
      </c>
      <c r="J8">
        <v>2003</v>
      </c>
      <c r="K8">
        <v>2004</v>
      </c>
      <c r="L8">
        <v>2005</v>
      </c>
      <c r="M8">
        <v>2006</v>
      </c>
      <c r="N8">
        <v>2007</v>
      </c>
      <c r="O8">
        <v>2008</v>
      </c>
      <c r="Q8">
        <v>2002</v>
      </c>
      <c r="R8">
        <v>2003</v>
      </c>
      <c r="S8">
        <v>2004</v>
      </c>
      <c r="T8">
        <v>2005</v>
      </c>
      <c r="U8">
        <v>2006</v>
      </c>
      <c r="V8">
        <v>2007</v>
      </c>
      <c r="W8">
        <v>2008</v>
      </c>
    </row>
    <row r="9" spans="1:23" ht="12">
      <c r="A9">
        <v>1</v>
      </c>
      <c r="B9" s="23">
        <v>0.393</v>
      </c>
      <c r="C9" s="23">
        <v>0.2</v>
      </c>
      <c r="D9" s="23">
        <v>0.112</v>
      </c>
      <c r="E9" s="23">
        <v>0.101</v>
      </c>
      <c r="F9" s="23">
        <v>0.184</v>
      </c>
      <c r="H9" t="s">
        <v>123</v>
      </c>
      <c r="I9" s="23">
        <f aca="true" t="shared" si="0" ref="I9:O13">Q9/Q$14</f>
        <v>0.03412073490813648</v>
      </c>
      <c r="J9" s="23">
        <f t="shared" si="0"/>
        <v>0.03508720760660328</v>
      </c>
      <c r="K9" s="23">
        <f t="shared" si="0"/>
        <v>0.041570293115774426</v>
      </c>
      <c r="L9" s="23">
        <f t="shared" si="0"/>
        <v>0.04532216113507873</v>
      </c>
      <c r="M9" s="23">
        <f t="shared" si="0"/>
        <v>0.03994390501883698</v>
      </c>
      <c r="N9" s="23">
        <f t="shared" si="0"/>
        <v>0.04594263299828389</v>
      </c>
      <c r="O9" s="23">
        <f t="shared" si="0"/>
        <v>0.05267253967489851</v>
      </c>
      <c r="Q9" s="29">
        <v>715</v>
      </c>
      <c r="R9" s="29">
        <v>1203</v>
      </c>
      <c r="S9" s="29">
        <v>1977</v>
      </c>
      <c r="T9" s="29">
        <v>2910</v>
      </c>
      <c r="U9" s="29">
        <v>3361</v>
      </c>
      <c r="V9" s="29">
        <v>4685</v>
      </c>
      <c r="W9" s="29">
        <v>6565</v>
      </c>
    </row>
    <row r="10" spans="1:23" ht="12">
      <c r="A10">
        <v>2</v>
      </c>
      <c r="B10" s="23">
        <v>0.281</v>
      </c>
      <c r="C10" s="23">
        <v>0.269</v>
      </c>
      <c r="D10" s="23">
        <v>0.18</v>
      </c>
      <c r="E10" s="23">
        <v>0.164</v>
      </c>
      <c r="F10" s="23">
        <v>0.245</v>
      </c>
      <c r="H10" t="s">
        <v>124</v>
      </c>
      <c r="I10" s="23">
        <f t="shared" si="0"/>
        <v>0.6936292054402291</v>
      </c>
      <c r="J10" s="23">
        <f t="shared" si="0"/>
        <v>0.7348480429329756</v>
      </c>
      <c r="K10" s="23">
        <f t="shared" si="0"/>
        <v>0.7458471760797342</v>
      </c>
      <c r="L10" s="23">
        <f t="shared" si="0"/>
        <v>0.7605557026492439</v>
      </c>
      <c r="M10" s="23">
        <f t="shared" si="0"/>
        <v>0.7689409695399498</v>
      </c>
      <c r="N10" s="23">
        <f t="shared" si="0"/>
        <v>0.765001225790635</v>
      </c>
      <c r="O10" s="23">
        <f t="shared" si="0"/>
        <v>0.7654567627850254</v>
      </c>
      <c r="Q10" s="29">
        <v>14535</v>
      </c>
      <c r="R10" s="29">
        <v>25195</v>
      </c>
      <c r="S10" s="29">
        <v>35471</v>
      </c>
      <c r="T10" s="29">
        <v>48833</v>
      </c>
      <c r="U10" s="29">
        <v>64701</v>
      </c>
      <c r="V10" s="29">
        <v>78011</v>
      </c>
      <c r="W10" s="29">
        <v>95405</v>
      </c>
    </row>
    <row r="11" spans="1:23" ht="12">
      <c r="A11">
        <v>3</v>
      </c>
      <c r="B11" s="23">
        <v>0.186</v>
      </c>
      <c r="C11" s="23">
        <v>0.292</v>
      </c>
      <c r="D11" s="23">
        <v>0.301</v>
      </c>
      <c r="E11" s="23">
        <v>0.298</v>
      </c>
      <c r="F11" s="23">
        <v>0.289</v>
      </c>
      <c r="H11" t="s">
        <v>125</v>
      </c>
      <c r="I11" s="23">
        <f t="shared" si="0"/>
        <v>0.14898592221426868</v>
      </c>
      <c r="J11" s="23">
        <f t="shared" si="0"/>
        <v>0.12168231931400572</v>
      </c>
      <c r="K11" s="23">
        <f t="shared" si="0"/>
        <v>0.10061398713150259</v>
      </c>
      <c r="L11" s="23">
        <f t="shared" si="0"/>
        <v>0.09692089647546218</v>
      </c>
      <c r="M11" s="23">
        <f t="shared" si="0"/>
        <v>0.09581308011361611</v>
      </c>
      <c r="N11" s="23">
        <f t="shared" si="0"/>
        <v>0.09974993871046825</v>
      </c>
      <c r="O11" s="23">
        <f t="shared" si="0"/>
        <v>0.09753044817792327</v>
      </c>
      <c r="Q11" s="29">
        <v>3122</v>
      </c>
      <c r="R11" s="29">
        <v>4172</v>
      </c>
      <c r="S11" s="29">
        <v>4785</v>
      </c>
      <c r="T11" s="29">
        <v>6223</v>
      </c>
      <c r="U11" s="29">
        <v>8062</v>
      </c>
      <c r="V11" s="29">
        <v>10172</v>
      </c>
      <c r="W11" s="29">
        <v>12156</v>
      </c>
    </row>
    <row r="12" spans="1:23" ht="12">
      <c r="A12">
        <v>4</v>
      </c>
      <c r="B12" s="23">
        <v>0.099</v>
      </c>
      <c r="C12" s="23">
        <v>0.16</v>
      </c>
      <c r="D12" s="23">
        <v>0.228</v>
      </c>
      <c r="E12" s="23">
        <v>0.247</v>
      </c>
      <c r="F12" s="23">
        <v>0.176</v>
      </c>
      <c r="H12" t="s">
        <v>126</v>
      </c>
      <c r="I12" s="23">
        <f t="shared" si="0"/>
        <v>0.09014554998806967</v>
      </c>
      <c r="J12" s="23">
        <f t="shared" si="0"/>
        <v>0.07565770285247624</v>
      </c>
      <c r="K12" s="23">
        <f t="shared" si="0"/>
        <v>0.07199629925564574</v>
      </c>
      <c r="L12" s="23">
        <f t="shared" si="0"/>
        <v>0.06608313735262511</v>
      </c>
      <c r="M12" s="23">
        <f t="shared" si="0"/>
        <v>0.0570100899658914</v>
      </c>
      <c r="N12" s="23">
        <f t="shared" si="0"/>
        <v>0.05453297376808041</v>
      </c>
      <c r="O12" s="23">
        <f t="shared" si="0"/>
        <v>0.054830789967746596</v>
      </c>
      <c r="Q12" s="29">
        <v>1889</v>
      </c>
      <c r="R12" s="29">
        <v>2594</v>
      </c>
      <c r="S12" s="29">
        <v>3424</v>
      </c>
      <c r="T12" s="29">
        <v>4243</v>
      </c>
      <c r="U12" s="29">
        <v>4797</v>
      </c>
      <c r="V12" s="29">
        <v>5561</v>
      </c>
      <c r="W12" s="29">
        <v>6834</v>
      </c>
    </row>
    <row r="13" spans="1:23" ht="12">
      <c r="A13">
        <v>5</v>
      </c>
      <c r="B13" s="23">
        <v>0.041</v>
      </c>
      <c r="C13" s="23">
        <v>0.079</v>
      </c>
      <c r="D13" s="23">
        <v>0.178</v>
      </c>
      <c r="E13" s="23">
        <v>0.198</v>
      </c>
      <c r="F13" s="23">
        <v>0.106</v>
      </c>
      <c r="H13" t="s">
        <v>127</v>
      </c>
      <c r="I13" s="23">
        <f t="shared" si="0"/>
        <v>0.03311858744929611</v>
      </c>
      <c r="J13" s="23">
        <f t="shared" si="0"/>
        <v>0.032724727293939215</v>
      </c>
      <c r="K13" s="23">
        <f t="shared" si="0"/>
        <v>0.03997224441734303</v>
      </c>
      <c r="L13" s="23">
        <f t="shared" si="0"/>
        <v>0.03111810238759014</v>
      </c>
      <c r="M13" s="23">
        <f t="shared" si="0"/>
        <v>0.03829195536170567</v>
      </c>
      <c r="N13" s="23">
        <f t="shared" si="0"/>
        <v>0.03477322873253248</v>
      </c>
      <c r="O13" s="23">
        <f t="shared" si="0"/>
        <v>0.0295094593944062</v>
      </c>
      <c r="Q13" s="29">
        <f>Q14-SUM(Q9:Q12)</f>
        <v>694</v>
      </c>
      <c r="R13" s="29">
        <v>1122</v>
      </c>
      <c r="S13" s="29">
        <v>1901</v>
      </c>
      <c r="T13" s="29">
        <f>1995+3</f>
        <v>1998</v>
      </c>
      <c r="U13" s="29">
        <f>25+2+3195</f>
        <v>3222</v>
      </c>
      <c r="V13" s="29">
        <f>3523+19+4</f>
        <v>3546</v>
      </c>
      <c r="W13" s="29">
        <f>3652+23+3</f>
        <v>3678</v>
      </c>
    </row>
    <row r="14" spans="8:23" ht="12">
      <c r="H14" t="s">
        <v>5</v>
      </c>
      <c r="I14" s="23">
        <f>Q14/Q$14</f>
        <v>1</v>
      </c>
      <c r="J14" s="23">
        <f>R14/R$14</f>
        <v>1</v>
      </c>
      <c r="K14" s="23">
        <f>S14/S$14</f>
        <v>1</v>
      </c>
      <c r="L14" s="23">
        <f>T14/T$14</f>
        <v>1</v>
      </c>
      <c r="M14" s="23">
        <f>SUM(M9:M13)</f>
        <v>1</v>
      </c>
      <c r="N14" s="23">
        <f>SUM(N9:N13)</f>
        <v>1</v>
      </c>
      <c r="O14" s="23">
        <f>SUM(O9:O13)</f>
        <v>0.9999999999999999</v>
      </c>
      <c r="Q14" s="29">
        <v>20955</v>
      </c>
      <c r="R14" s="29">
        <f>SUM(R9:R13)</f>
        <v>34286</v>
      </c>
      <c r="S14" s="29">
        <v>47558</v>
      </c>
      <c r="T14" s="29">
        <v>64207</v>
      </c>
      <c r="U14" s="29">
        <v>84143</v>
      </c>
      <c r="V14" s="29">
        <v>101975</v>
      </c>
      <c r="W14" s="29">
        <v>124638</v>
      </c>
    </row>
    <row r="15" spans="1:18" ht="12">
      <c r="A15" t="s">
        <v>128</v>
      </c>
      <c r="R15" s="29"/>
    </row>
    <row r="16" spans="1:25" ht="12">
      <c r="A16" t="s">
        <v>116</v>
      </c>
      <c r="B16" t="s">
        <v>129</v>
      </c>
      <c r="C16" t="s">
        <v>130</v>
      </c>
      <c r="D16" t="s">
        <v>131</v>
      </c>
      <c r="E16" t="s">
        <v>132</v>
      </c>
      <c r="F16" t="s">
        <v>121</v>
      </c>
      <c r="H16" t="s">
        <v>133</v>
      </c>
      <c r="I16" t="s">
        <v>134</v>
      </c>
      <c r="M16" t="s">
        <v>135</v>
      </c>
      <c r="Q16" t="s">
        <v>125</v>
      </c>
      <c r="U16" t="s">
        <v>126</v>
      </c>
      <c r="Y16" t="s">
        <v>121</v>
      </c>
    </row>
    <row r="17" spans="1:27" ht="12">
      <c r="A17">
        <v>1</v>
      </c>
      <c r="B17" s="23">
        <v>0.372</v>
      </c>
      <c r="C17" s="23">
        <v>0.209</v>
      </c>
      <c r="D17" s="23">
        <v>0.156</v>
      </c>
      <c r="E17" s="23">
        <v>0.119</v>
      </c>
      <c r="F17" s="23">
        <v>0.201</v>
      </c>
      <c r="H17" t="s">
        <v>116</v>
      </c>
      <c r="I17">
        <v>2002</v>
      </c>
      <c r="J17">
        <v>2003</v>
      </c>
      <c r="K17">
        <v>2004</v>
      </c>
      <c r="M17">
        <v>2002</v>
      </c>
      <c r="N17">
        <v>2003</v>
      </c>
      <c r="O17">
        <v>2004</v>
      </c>
      <c r="Q17">
        <v>2002</v>
      </c>
      <c r="R17">
        <v>2003</v>
      </c>
      <c r="S17">
        <v>2004</v>
      </c>
      <c r="U17">
        <v>2002</v>
      </c>
      <c r="V17">
        <v>2003</v>
      </c>
      <c r="W17">
        <v>2004</v>
      </c>
      <c r="Y17">
        <v>2002</v>
      </c>
      <c r="Z17">
        <v>2003</v>
      </c>
      <c r="AA17">
        <v>2004</v>
      </c>
    </row>
    <row r="18" spans="1:27" ht="12">
      <c r="A18">
        <v>2</v>
      </c>
      <c r="B18" s="23">
        <v>0.251</v>
      </c>
      <c r="C18" s="23">
        <v>0.251</v>
      </c>
      <c r="D18" s="23">
        <v>0.188</v>
      </c>
      <c r="E18" s="23">
        <v>0.172</v>
      </c>
      <c r="F18" s="23">
        <v>0.237</v>
      </c>
      <c r="H18" s="9">
        <v>1</v>
      </c>
      <c r="I18" s="23">
        <f>B9</f>
        <v>0.393</v>
      </c>
      <c r="J18" s="23">
        <f>B17</f>
        <v>0.372</v>
      </c>
      <c r="K18" s="23">
        <f>B25</f>
        <v>0.364</v>
      </c>
      <c r="M18" s="23">
        <f>C9</f>
        <v>0.2</v>
      </c>
      <c r="N18" s="23">
        <f>C17</f>
        <v>0.209</v>
      </c>
      <c r="O18" s="23">
        <f>C25</f>
        <v>0.227</v>
      </c>
      <c r="Q18" s="23">
        <f>D9</f>
        <v>0.112</v>
      </c>
      <c r="R18" s="23">
        <f>D17</f>
        <v>0.156</v>
      </c>
      <c r="S18" s="23">
        <f>D25</f>
        <v>0.135</v>
      </c>
      <c r="U18" s="23">
        <f>E9</f>
        <v>0.101</v>
      </c>
      <c r="V18" s="23">
        <f>E17</f>
        <v>0.119</v>
      </c>
      <c r="W18" s="23">
        <f>E25</f>
        <v>0.154</v>
      </c>
      <c r="Y18" s="23">
        <f>F9</f>
        <v>0.184</v>
      </c>
      <c r="Z18" s="23">
        <f>F17</f>
        <v>0.201</v>
      </c>
      <c r="AA18" s="23">
        <v>0.22</v>
      </c>
    </row>
    <row r="19" spans="1:27" ht="12">
      <c r="A19">
        <v>3</v>
      </c>
      <c r="B19" s="23">
        <v>0.196</v>
      </c>
      <c r="C19" s="23">
        <v>0.263</v>
      </c>
      <c r="D19" s="23">
        <v>0.262</v>
      </c>
      <c r="E19" s="23">
        <v>0.251</v>
      </c>
      <c r="F19" s="23">
        <v>0.259</v>
      </c>
      <c r="H19" s="9">
        <v>2</v>
      </c>
      <c r="I19" s="23">
        <f>B10</f>
        <v>0.281</v>
      </c>
      <c r="J19" s="23">
        <f>B18</f>
        <v>0.251</v>
      </c>
      <c r="K19" s="23">
        <f>B26</f>
        <v>0.225</v>
      </c>
      <c r="M19" s="23">
        <f>C10</f>
        <v>0.269</v>
      </c>
      <c r="N19" s="23">
        <f>C18</f>
        <v>0.251</v>
      </c>
      <c r="O19" s="23">
        <f>C26</f>
        <v>0.23</v>
      </c>
      <c r="Q19" s="23">
        <f>D10</f>
        <v>0.18</v>
      </c>
      <c r="R19" s="23">
        <f>D18</f>
        <v>0.188</v>
      </c>
      <c r="S19" s="23">
        <f>D26</f>
        <v>0.201</v>
      </c>
      <c r="U19" s="23">
        <f>E10</f>
        <v>0.164</v>
      </c>
      <c r="V19" s="23">
        <f>E18</f>
        <v>0.172</v>
      </c>
      <c r="W19" s="23">
        <f>E26</f>
        <v>0.181</v>
      </c>
      <c r="Y19" s="23">
        <f>F10</f>
        <v>0.245</v>
      </c>
      <c r="Z19" s="23">
        <f>F18</f>
        <v>0.237</v>
      </c>
      <c r="AA19" s="23">
        <v>0.232</v>
      </c>
    </row>
    <row r="20" spans="1:27" ht="12">
      <c r="A20">
        <v>4</v>
      </c>
      <c r="B20" s="23">
        <v>0.119</v>
      </c>
      <c r="C20" s="23">
        <v>0.179</v>
      </c>
      <c r="D20" s="23">
        <v>0.234</v>
      </c>
      <c r="E20" s="23">
        <v>0.253</v>
      </c>
      <c r="F20" s="23">
        <v>0.189</v>
      </c>
      <c r="H20" s="9">
        <v>3</v>
      </c>
      <c r="I20" s="23">
        <f>B11</f>
        <v>0.186</v>
      </c>
      <c r="J20" s="23">
        <f>B19</f>
        <v>0.196</v>
      </c>
      <c r="K20" s="23">
        <f>B27</f>
        <v>0.232</v>
      </c>
      <c r="M20" s="23">
        <f>C11</f>
        <v>0.292</v>
      </c>
      <c r="N20" s="23">
        <f>C19</f>
        <v>0.263</v>
      </c>
      <c r="O20" s="23">
        <f>C27</f>
        <v>0.281</v>
      </c>
      <c r="Q20" s="23">
        <f>D11</f>
        <v>0.301</v>
      </c>
      <c r="R20" s="23">
        <f>D19</f>
        <v>0.262</v>
      </c>
      <c r="S20" s="23">
        <f>D27</f>
        <v>0.297</v>
      </c>
      <c r="U20" s="23">
        <f>E11</f>
        <v>0.298</v>
      </c>
      <c r="V20" s="23">
        <f>E19</f>
        <v>0.251</v>
      </c>
      <c r="W20" s="23">
        <f>E27</f>
        <v>0.261</v>
      </c>
      <c r="Y20" s="23">
        <f>F11</f>
        <v>0.289</v>
      </c>
      <c r="Z20" s="23">
        <f>F19</f>
        <v>0.259</v>
      </c>
      <c r="AA20" s="23">
        <v>0.278</v>
      </c>
    </row>
    <row r="21" spans="1:27" ht="12">
      <c r="A21">
        <v>5</v>
      </c>
      <c r="B21" s="23">
        <v>0.062</v>
      </c>
      <c r="C21" s="23">
        <v>0.098</v>
      </c>
      <c r="D21" s="23">
        <v>0.161</v>
      </c>
      <c r="E21" s="23">
        <v>0.206</v>
      </c>
      <c r="F21" s="23">
        <v>0.114</v>
      </c>
      <c r="H21" s="9">
        <v>4</v>
      </c>
      <c r="I21" s="23">
        <f>B12</f>
        <v>0.099</v>
      </c>
      <c r="J21" s="23">
        <f>B20</f>
        <v>0.119</v>
      </c>
      <c r="K21" s="23">
        <f>B28</f>
        <v>0.111</v>
      </c>
      <c r="M21" s="23">
        <f>C12</f>
        <v>0.16</v>
      </c>
      <c r="N21" s="23">
        <f>C20</f>
        <v>0.179</v>
      </c>
      <c r="O21" s="23">
        <f>C28</f>
        <v>0.153</v>
      </c>
      <c r="Q21" s="23">
        <f>D12</f>
        <v>0.228</v>
      </c>
      <c r="R21" s="23">
        <f>D20</f>
        <v>0.234</v>
      </c>
      <c r="S21" s="23">
        <f>D28</f>
        <v>0.208</v>
      </c>
      <c r="U21" s="23">
        <f>E12</f>
        <v>0.247</v>
      </c>
      <c r="V21" s="23">
        <f>E20</f>
        <v>0.253</v>
      </c>
      <c r="W21" s="23">
        <f>E28</f>
        <v>0.214</v>
      </c>
      <c r="Y21" s="23">
        <f>F12</f>
        <v>0.176</v>
      </c>
      <c r="Z21" s="23">
        <f>F20</f>
        <v>0.189</v>
      </c>
      <c r="AA21" s="23">
        <v>0.161</v>
      </c>
    </row>
    <row r="22" spans="8:27" ht="12">
      <c r="H22" s="9">
        <v>5</v>
      </c>
      <c r="I22" s="23">
        <f>B13</f>
        <v>0.041</v>
      </c>
      <c r="J22" s="23">
        <f>B21</f>
        <v>0.062</v>
      </c>
      <c r="K22" s="23">
        <f>B29</f>
        <v>0.069</v>
      </c>
      <c r="M22" s="23">
        <f>C13</f>
        <v>0.079</v>
      </c>
      <c r="N22" s="23">
        <f>C21</f>
        <v>0.098</v>
      </c>
      <c r="O22" s="23">
        <f>C29</f>
        <v>0.098</v>
      </c>
      <c r="Q22" s="23">
        <f>D13</f>
        <v>0.178</v>
      </c>
      <c r="R22" s="23">
        <f>D21</f>
        <v>0.161</v>
      </c>
      <c r="S22" s="23">
        <f>D29</f>
        <v>0.159</v>
      </c>
      <c r="U22" s="23">
        <f>E13</f>
        <v>0.198</v>
      </c>
      <c r="V22" s="23">
        <f>E21</f>
        <v>0.206</v>
      </c>
      <c r="W22" s="23">
        <f>E29</f>
        <v>0.189</v>
      </c>
      <c r="Y22" s="23">
        <f>F13</f>
        <v>0.106</v>
      </c>
      <c r="Z22" s="23">
        <f>F21</f>
        <v>0.114</v>
      </c>
      <c r="AA22" s="23">
        <v>0.109</v>
      </c>
    </row>
    <row r="23" spans="1:8" ht="12">
      <c r="A23" t="s">
        <v>136</v>
      </c>
      <c r="H23" s="9"/>
    </row>
    <row r="24" spans="1:6" ht="12">
      <c r="A24" t="s">
        <v>116</v>
      </c>
      <c r="B24" t="s">
        <v>129</v>
      </c>
      <c r="C24" t="s">
        <v>137</v>
      </c>
      <c r="D24" t="s">
        <v>138</v>
      </c>
      <c r="E24" t="s">
        <v>139</v>
      </c>
      <c r="F24" t="s">
        <v>121</v>
      </c>
    </row>
    <row r="25" spans="1:6" ht="12">
      <c r="A25">
        <v>1</v>
      </c>
      <c r="B25" s="23">
        <v>0.364</v>
      </c>
      <c r="C25" s="23">
        <v>0.227</v>
      </c>
      <c r="D25" s="23">
        <v>0.135</v>
      </c>
      <c r="E25" s="23">
        <v>0.154</v>
      </c>
      <c r="F25" s="23">
        <v>0.22</v>
      </c>
    </row>
    <row r="26" spans="1:6" ht="12">
      <c r="A26">
        <v>2</v>
      </c>
      <c r="B26" s="23">
        <v>0.225</v>
      </c>
      <c r="C26" s="23">
        <v>0.23</v>
      </c>
      <c r="D26" s="23">
        <v>0.201</v>
      </c>
      <c r="E26" s="23">
        <v>0.181</v>
      </c>
      <c r="F26" s="23">
        <v>0.232</v>
      </c>
    </row>
    <row r="27" spans="1:6" ht="12">
      <c r="A27">
        <v>3</v>
      </c>
      <c r="B27" s="23">
        <v>0.232</v>
      </c>
      <c r="C27" s="23">
        <v>0.281</v>
      </c>
      <c r="D27" s="23">
        <v>0.297</v>
      </c>
      <c r="E27" s="23">
        <v>0.261</v>
      </c>
      <c r="F27" s="23">
        <v>0.278</v>
      </c>
    </row>
    <row r="28" spans="1:6" ht="12">
      <c r="A28">
        <v>4</v>
      </c>
      <c r="B28" s="23">
        <v>0.111</v>
      </c>
      <c r="C28" s="23">
        <v>0.153</v>
      </c>
      <c r="D28" s="23">
        <v>0.208</v>
      </c>
      <c r="E28" s="23">
        <v>0.214</v>
      </c>
      <c r="F28" s="23">
        <v>0.161</v>
      </c>
    </row>
    <row r="29" spans="1:6" ht="12">
      <c r="A29">
        <v>5</v>
      </c>
      <c r="B29" s="23">
        <v>0.069</v>
      </c>
      <c r="C29" s="23">
        <v>0.098</v>
      </c>
      <c r="D29" s="23">
        <v>0.159</v>
      </c>
      <c r="E29" s="23">
        <v>0.189</v>
      </c>
      <c r="F29" s="23">
        <v>0.109</v>
      </c>
    </row>
    <row r="37" ht="12">
      <c r="A37" t="s">
        <v>140</v>
      </c>
    </row>
    <row r="38" ht="12">
      <c r="A38">
        <v>2002</v>
      </c>
    </row>
    <row r="39" spans="1:4" ht="12">
      <c r="A39" t="s">
        <v>141</v>
      </c>
      <c r="B39" t="s">
        <v>142</v>
      </c>
      <c r="C39" t="s">
        <v>143</v>
      </c>
      <c r="D39" t="s">
        <v>144</v>
      </c>
    </row>
    <row r="40" spans="1:4" ht="12">
      <c r="A40" t="s">
        <v>134</v>
      </c>
      <c r="B40" s="29">
        <v>5899</v>
      </c>
      <c r="C40" s="15">
        <v>0.6725</v>
      </c>
      <c r="D40" s="30">
        <v>3.2</v>
      </c>
    </row>
    <row r="41" spans="1:4" ht="12">
      <c r="A41" t="s">
        <v>135</v>
      </c>
      <c r="B41" s="29">
        <v>102079</v>
      </c>
      <c r="C41" s="15">
        <v>0.6586</v>
      </c>
      <c r="D41" s="30">
        <v>3.05</v>
      </c>
    </row>
    <row r="42" spans="1:4" ht="12">
      <c r="A42" t="s">
        <v>125</v>
      </c>
      <c r="B42" s="29">
        <v>557241</v>
      </c>
      <c r="C42" s="15">
        <v>0.6176</v>
      </c>
      <c r="D42" s="30">
        <v>2.99</v>
      </c>
    </row>
    <row r="43" spans="1:4" ht="12">
      <c r="A43" t="s">
        <v>126</v>
      </c>
      <c r="B43" s="29">
        <v>877083</v>
      </c>
      <c r="C43" s="15">
        <v>0.6413</v>
      </c>
      <c r="D43" s="30">
        <v>3</v>
      </c>
    </row>
    <row r="45" ht="12">
      <c r="A45">
        <v>2003</v>
      </c>
    </row>
    <row r="46" spans="1:4" ht="12">
      <c r="A46" t="s">
        <v>141</v>
      </c>
      <c r="B46" t="s">
        <v>142</v>
      </c>
      <c r="C46" t="s">
        <v>143</v>
      </c>
      <c r="D46" t="s">
        <v>144</v>
      </c>
    </row>
    <row r="47" spans="1:4" ht="12">
      <c r="A47" t="s">
        <v>134</v>
      </c>
      <c r="B47" s="29">
        <v>7508</v>
      </c>
      <c r="C47" s="15">
        <v>0.6618</v>
      </c>
      <c r="D47" s="30">
        <v>3.2</v>
      </c>
    </row>
    <row r="48" spans="1:4" ht="12">
      <c r="A48" t="s">
        <v>135</v>
      </c>
      <c r="B48" s="29">
        <v>122778</v>
      </c>
      <c r="C48" s="15">
        <v>0.6374</v>
      </c>
      <c r="D48" s="30">
        <v>3.01</v>
      </c>
    </row>
    <row r="49" spans="1:4" ht="12">
      <c r="A49" t="s">
        <v>125</v>
      </c>
      <c r="B49" s="29">
        <v>609618</v>
      </c>
      <c r="C49" s="15">
        <v>0.6019</v>
      </c>
      <c r="D49" s="30">
        <v>2.94</v>
      </c>
    </row>
    <row r="50" spans="1:4" ht="12">
      <c r="A50" t="s">
        <v>126</v>
      </c>
      <c r="B50" s="29">
        <v>946524</v>
      </c>
      <c r="C50" s="15">
        <v>0.6247</v>
      </c>
      <c r="D50" s="30">
        <v>2.97</v>
      </c>
    </row>
    <row r="52" ht="12">
      <c r="A52">
        <v>2004</v>
      </c>
    </row>
    <row r="53" spans="1:4" ht="12">
      <c r="A53" t="s">
        <v>141</v>
      </c>
      <c r="B53" t="s">
        <v>142</v>
      </c>
      <c r="C53" t="s">
        <v>143</v>
      </c>
      <c r="D53" t="s">
        <v>144</v>
      </c>
    </row>
    <row r="54" spans="1:4" ht="12">
      <c r="A54" t="s">
        <v>134</v>
      </c>
      <c r="B54" s="29">
        <v>9960</v>
      </c>
      <c r="C54" s="15">
        <v>0.6244</v>
      </c>
      <c r="D54" s="30">
        <v>3.03</v>
      </c>
    </row>
    <row r="55" spans="1:4" ht="12">
      <c r="A55" t="s">
        <v>135</v>
      </c>
      <c r="B55" s="29">
        <v>143690</v>
      </c>
      <c r="C55" s="15">
        <v>0.6405</v>
      </c>
      <c r="D55" s="30">
        <v>2.99</v>
      </c>
    </row>
    <row r="56" spans="1:4" ht="12">
      <c r="A56" t="s">
        <v>125</v>
      </c>
      <c r="B56" s="29">
        <v>662123</v>
      </c>
      <c r="C56" s="15">
        <v>0.6139</v>
      </c>
      <c r="D56" s="30">
        <v>2.97</v>
      </c>
    </row>
    <row r="57" spans="1:4" ht="12">
      <c r="A57" t="s">
        <v>126</v>
      </c>
      <c r="B57" s="29">
        <v>994220</v>
      </c>
      <c r="C57" s="15">
        <v>0.6179</v>
      </c>
      <c r="D57" s="30">
        <v>2.96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Grand Rapids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Strickland</dc:creator>
  <cp:keywords/>
  <dc:description/>
  <cp:lastModifiedBy>EGR</cp:lastModifiedBy>
  <cp:lastPrinted>2008-10-18T20:18:45Z</cp:lastPrinted>
  <dcterms:created xsi:type="dcterms:W3CDTF">2003-11-04T21:42:28Z</dcterms:created>
  <dcterms:modified xsi:type="dcterms:W3CDTF">2009-05-14T23:52:39Z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